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835" activeTab="2"/>
  </bookViews>
  <sheets>
    <sheet name="BDI" sheetId="1" r:id="rId1"/>
    <sheet name="orçamento" sheetId="2" r:id="rId2"/>
    <sheet name="CRO" sheetId="3" r:id="rId3"/>
  </sheets>
  <externalReferences>
    <externalReference r:id="rId6"/>
    <externalReference r:id="rId7"/>
  </externalReferences>
  <definedNames>
    <definedName name="_xlnm.Print_Area" localSheetId="2">'CRO'!$A$1:$T$55</definedName>
    <definedName name="_xlnm.Print_Area" localSheetId="1">'orçamento'!$A$1:$N$303</definedName>
    <definedName name="_xlnm.Print_Titles" localSheetId="2">'CRO'!$1:$15</definedName>
    <definedName name="_xlnm.Print_Titles" localSheetId="1">'orçamento'!$1:$14</definedName>
  </definedNames>
  <calcPr fullCalcOnLoad="1"/>
</workbook>
</file>

<file path=xl/sharedStrings.xml><?xml version="1.0" encoding="utf-8"?>
<sst xmlns="http://schemas.openxmlformats.org/spreadsheetml/2006/main" count="995" uniqueCount="678">
  <si>
    <t>VALOR UNITÁRIO C/BDI</t>
  </si>
  <si>
    <t>VALOR TOTAL S/BDI</t>
  </si>
  <si>
    <t>VALOR TOTAL  C/BDI</t>
  </si>
  <si>
    <t>SERVIÇOS PRELIMINARES</t>
  </si>
  <si>
    <t xml:space="preserve"> </t>
  </si>
  <si>
    <t>1.1</t>
  </si>
  <si>
    <t>Limpeza e acerto do terreno</t>
  </si>
  <si>
    <t>m2</t>
  </si>
  <si>
    <t>1.2</t>
  </si>
  <si>
    <t>Carga  mecanizada de entulho em caminhão basculante</t>
  </si>
  <si>
    <t>m3</t>
  </si>
  <si>
    <t>1.3</t>
  </si>
  <si>
    <t>Transporte de material de emprestimo ou bota fora, inclusive descarga e espalhamento DMT=3km</t>
  </si>
  <si>
    <t>74242/1</t>
  </si>
  <si>
    <t>1.4</t>
  </si>
  <si>
    <t>Barracão de obras, em  chapa de madeira prensada, com telhas de fibrocimento de 4 mm, piso em argamassa de cimento e areia 1:6, instalações elétricas e hidro sanitárias</t>
  </si>
  <si>
    <t>m²</t>
  </si>
  <si>
    <t>1.5</t>
  </si>
  <si>
    <t>Ligação Água - PADRÃO COPASA - ENTRADA DA REDE PÚBLICA</t>
  </si>
  <si>
    <t>un.</t>
  </si>
  <si>
    <t>1.6</t>
  </si>
  <si>
    <t>Placas de obra</t>
  </si>
  <si>
    <t>1.7</t>
  </si>
  <si>
    <t xml:space="preserve">Locação da obra </t>
  </si>
  <si>
    <t>Total do item 1</t>
  </si>
  <si>
    <t>FUNDAÇÕES</t>
  </si>
  <si>
    <t>2.1</t>
  </si>
  <si>
    <t>Estaca broca diâm. &gt;= 30 cm</t>
  </si>
  <si>
    <t>m</t>
  </si>
  <si>
    <t>2.2</t>
  </si>
  <si>
    <t>Escavação manual de vala</t>
  </si>
  <si>
    <t>2.3</t>
  </si>
  <si>
    <t>Apiloamento de fundo de vala</t>
  </si>
  <si>
    <t>2.4</t>
  </si>
  <si>
    <t>Camada de regularização em concreto magro fck &gt;= 9 Mpa com 5 cm de espessura</t>
  </si>
  <si>
    <t>2.5</t>
  </si>
  <si>
    <t xml:space="preserve">Forma de tábua de madeira de 3ª para fundação, reaproveitamento de 5 vezes, inclusive desforma                </t>
  </si>
  <si>
    <t>2.6</t>
  </si>
  <si>
    <t>Concreto estrutural fck= 20 Mpa, inclusive lançamento</t>
  </si>
  <si>
    <t>2.7</t>
  </si>
  <si>
    <t>Armação com aço CA-50/60, inclusive estruturas de concreto armado</t>
  </si>
  <si>
    <t>kg</t>
  </si>
  <si>
    <t>2.8</t>
  </si>
  <si>
    <t>Alvenaria de embasamento com tijolos maciços</t>
  </si>
  <si>
    <t>2.9</t>
  </si>
  <si>
    <t xml:space="preserve">Impermeabilização de alvenaria de embasamento com argamassa de cimento e areia 1:3, E=2 cm,  com aditivo impermeabilizante </t>
  </si>
  <si>
    <t>2.10</t>
  </si>
  <si>
    <t>Reaterro compactado</t>
  </si>
  <si>
    <t>Total do item 2</t>
  </si>
  <si>
    <t xml:space="preserve">ESTRUTURAS DE CONCRETO ARMADO </t>
  </si>
  <si>
    <t>3.1</t>
  </si>
  <si>
    <t>Laje pré fabricada  de cobertura, SC=100KG/M2, incl. escoramento e capeamento</t>
  </si>
  <si>
    <t>3.2</t>
  </si>
  <si>
    <t>Laje nervurada de 8 cm, inclusive capeamento (5 cm ) e escoramento</t>
  </si>
  <si>
    <t>3.3</t>
  </si>
  <si>
    <t>Laje nervurada de 12 cm, inclusive capeamento (5 cm ) e escoramento</t>
  </si>
  <si>
    <t>3.4</t>
  </si>
  <si>
    <t>Laje nervurada de 16 cm, inclusive capeamento (5 cm ) e escoramento</t>
  </si>
  <si>
    <t>3.5</t>
  </si>
  <si>
    <t>Concreto estrutural, fck &gt;= 20 MPa</t>
  </si>
  <si>
    <t>3.6</t>
  </si>
  <si>
    <t>Forma em chapa de compensado 12 mm, reaproveitamento de 3 vezes, inclusive desforma</t>
  </si>
  <si>
    <t>3.7</t>
  </si>
  <si>
    <t>Vergas e contra vergas de concreto armado</t>
  </si>
  <si>
    <t>Total do item 3</t>
  </si>
  <si>
    <t>ALVENARIAS E DIVISÓRIAS</t>
  </si>
  <si>
    <t>4.1</t>
  </si>
  <si>
    <t>Alvenaria de tijolo cerâmico furado, espessura de 10 cm</t>
  </si>
  <si>
    <t>4.2</t>
  </si>
  <si>
    <t>Alvenaria de tijolo cerâmico furado, espessura de 20 cm</t>
  </si>
  <si>
    <t>SI-74229/1</t>
  </si>
  <si>
    <t>Divisória em granito cinza andorinha para vestiários</t>
  </si>
  <si>
    <t>Total do item 4</t>
  </si>
  <si>
    <t>ESQUADRIAS DE MADEIRA</t>
  </si>
  <si>
    <t>5.1</t>
  </si>
  <si>
    <t>Porta de madeira do tipo prancheta , completa, inclusive ferragem, para paredes de 15 cm (acabada)</t>
  </si>
  <si>
    <t>- 0,80x2,10 m</t>
  </si>
  <si>
    <t>un</t>
  </si>
  <si>
    <t>- 0,90x2,10 m  ( com fechadura interna chave grande)</t>
  </si>
  <si>
    <t>- 0,90x2,10 m  ( com fechadura para  banheiro)</t>
  </si>
  <si>
    <t>- 1,10x2,10 m</t>
  </si>
  <si>
    <t>5.2</t>
  </si>
  <si>
    <t>Porta de madeira do tipo prancheta , completa, inclusive ferragem, para paredes de 25 cm (acabada)</t>
  </si>
  <si>
    <t>- 90x2,10 m</t>
  </si>
  <si>
    <t>Total do item 5</t>
  </si>
  <si>
    <t>ESQUADRIAS METÁLICAS</t>
  </si>
  <si>
    <t>Porta de correr 4 folhas  de  vidro temperado de  10 mm com acessorios de aluminio fosco, completa de 3,00x2,20 m</t>
  </si>
  <si>
    <t>Porta de correr  2 folhas, de  vidro temperado de 10 mm, com acessorios de aluminio fosco, completa de 2,20 x 2,10 m</t>
  </si>
  <si>
    <t>6.3</t>
  </si>
  <si>
    <t>Porta veneziana de chapa metálica completa :</t>
  </si>
  <si>
    <t>SI - 23720/2</t>
  </si>
  <si>
    <t>- 1,10 x 2,10 m (lixo)</t>
  </si>
  <si>
    <t>-0,90 x 2,10 m</t>
  </si>
  <si>
    <t>SI - 74071/1</t>
  </si>
  <si>
    <t>Porta veneziana de aluminio fosco para box de banheiro, completa, inclusive trinco de 0,60 x1,80 m</t>
  </si>
  <si>
    <t>6.5</t>
  </si>
  <si>
    <t>Janelas de correr 4 folhas  ( 2 fixas e 2 correr) de  vidro temperado de 8 mm, com acessorios de aluminio fosco, completa</t>
  </si>
  <si>
    <t>-3,00x1,20 m</t>
  </si>
  <si>
    <t>-3,00x1,50 m</t>
  </si>
  <si>
    <t>- 2,50x2,00 m</t>
  </si>
  <si>
    <t>-2,50x1,20 m</t>
  </si>
  <si>
    <t>-2,00x1,20 m</t>
  </si>
  <si>
    <t>6.6</t>
  </si>
  <si>
    <t>Janelas de correr 2 folhas   de  vidro temperado de 8 mm, com acessorios de aluminio fosco, completa</t>
  </si>
  <si>
    <t>- 1,50x1,20 m</t>
  </si>
  <si>
    <t>-1,00x1,20 m</t>
  </si>
  <si>
    <t>6.7</t>
  </si>
  <si>
    <t>Janelas Maxim Ar de vidro temperado de 8 mm com acessorios de aluminio fosco, completa:</t>
  </si>
  <si>
    <t>- 1,50x0,60 m</t>
  </si>
  <si>
    <t>-1,00x0,60 m</t>
  </si>
  <si>
    <t>6.8</t>
  </si>
  <si>
    <t>Portão de metalon de abrir</t>
  </si>
  <si>
    <t>SI - 57058/1</t>
  </si>
  <si>
    <t>-1,00x2,50 m</t>
  </si>
  <si>
    <t>- 2,30x2,50 m (2 folhas)</t>
  </si>
  <si>
    <t>SI - 67692</t>
  </si>
  <si>
    <t>Alçapão  de 0,60x0,60 m com encaixe de ferro #18</t>
  </si>
  <si>
    <t>SI - 24284/1</t>
  </si>
  <si>
    <t xml:space="preserve">Gradil de metalon </t>
  </si>
  <si>
    <t>Total do item 6</t>
  </si>
  <si>
    <t>MADEIRAMENTO E COBERTURA</t>
  </si>
  <si>
    <t>7.1</t>
  </si>
  <si>
    <t>Estrutura de madeira para telha cerâmica tipo Plan</t>
  </si>
  <si>
    <t>7.2</t>
  </si>
  <si>
    <t>Cobertura com telha  Plan</t>
  </si>
  <si>
    <t>7.3</t>
  </si>
  <si>
    <t>Estrutura de madeira para telha de fibrocimento</t>
  </si>
  <si>
    <t>7.4</t>
  </si>
  <si>
    <t>Cobertura com telha  de fibrocimento ondulada, e=6 mm, inclusive juntas de vedação e acessórios de fixação</t>
  </si>
  <si>
    <t>7.5</t>
  </si>
  <si>
    <t>Telha cumeeira, inclusive embocamento</t>
  </si>
  <si>
    <t>7.6</t>
  </si>
  <si>
    <t>Calha metálica # n° 14 , desenv.: 50 cm</t>
  </si>
  <si>
    <t>7.7</t>
  </si>
  <si>
    <t>Rufo metálico # 14, desenv.: 33 cm</t>
  </si>
  <si>
    <t>SI - 73971/1</t>
  </si>
  <si>
    <t>Impermeabilização de laje de cobertura com manta asfáltica de 4 mm</t>
  </si>
  <si>
    <t>Total do item 7</t>
  </si>
  <si>
    <t>REVESTIMENTO DE PAREDES E TETOS</t>
  </si>
  <si>
    <t>8.1</t>
  </si>
  <si>
    <t>Chapisco com argamassa de cimento e areia 1:3</t>
  </si>
  <si>
    <t>8.2</t>
  </si>
  <si>
    <t>Reboco com argamassa de cimento e areia 1:6, esp.=2,5 cm</t>
  </si>
  <si>
    <t>SI - 73927/5</t>
  </si>
  <si>
    <t>Reboco com argamassa de cimento e areia 1:4, esp.=2,5 cm</t>
  </si>
  <si>
    <t>SI - 73927/11</t>
  </si>
  <si>
    <t>Emboço com argamassa de cimento e areia lavada 1:3, esp.=2,0 cm</t>
  </si>
  <si>
    <t>SI 73925</t>
  </si>
  <si>
    <t>Azulejo branco de 15x15 cm assentado com argamassa pré fabricada, inclusive rejuntamento , junta a prumo</t>
  </si>
  <si>
    <t>Revestimento em grafiato</t>
  </si>
  <si>
    <t>Total do item 8</t>
  </si>
  <si>
    <t>PISOS E RODAPÉS</t>
  </si>
  <si>
    <t>SI - 68680/6</t>
  </si>
  <si>
    <t>Lastro de concreto esp.= 6cm</t>
  </si>
  <si>
    <t>SI - 68609/6</t>
  </si>
  <si>
    <t>Regularização de piso com argamassa de cimento e areia 1:4, espessura 1,5 cm</t>
  </si>
  <si>
    <t>SI - 75785</t>
  </si>
  <si>
    <t>Piso em granitina, com junta plastica de 1,50x1,50 m, inclusive resina acrilica</t>
  </si>
  <si>
    <t>SI - 6048</t>
  </si>
  <si>
    <t>Piso cimentado com junta  seca  sobre base de concreto magro, esp.: 5 cm</t>
  </si>
  <si>
    <t>SI-6123</t>
  </si>
  <si>
    <t>Rodapé em granitina  h= 8 cm</t>
  </si>
  <si>
    <t>Total do item 9</t>
  </si>
  <si>
    <t>PINTURA</t>
  </si>
  <si>
    <t>26317/1+23714/2</t>
  </si>
  <si>
    <t xml:space="preserve">Pintura PVA c/ massa corrida em tetos </t>
  </si>
  <si>
    <t>26320/4+26318/1</t>
  </si>
  <si>
    <t>Pintura acrílica c/ massa corrida em paredes internas</t>
  </si>
  <si>
    <t>SI - 68459/3</t>
  </si>
  <si>
    <t xml:space="preserve">Pintura acrílica sobre selador acrilico em paredes externas  e beirais </t>
  </si>
  <si>
    <t>SI - 24322/1</t>
  </si>
  <si>
    <t>Pintura de esquadrias metálicas com esmalte sintético</t>
  </si>
  <si>
    <t>SI - 24323/1</t>
  </si>
  <si>
    <t>Pintura de esquadrias de madeira com esmalte sintético</t>
  </si>
  <si>
    <t>Total do item 10</t>
  </si>
  <si>
    <t>INSTALAÇÕES ELÉTRICAS,TELEFONE E REDE LÓGICA</t>
  </si>
  <si>
    <t>11.1</t>
  </si>
  <si>
    <t>Entrada de Serviço</t>
  </si>
  <si>
    <t>SI - 2629</t>
  </si>
  <si>
    <t>Cabeçote ou curva 135° - 3"</t>
  </si>
  <si>
    <t>pç</t>
  </si>
  <si>
    <t>SI - 72316</t>
  </si>
  <si>
    <t>Eletroduto (3 m) aço galvanizado-85 mm-3"</t>
  </si>
  <si>
    <t>SI - 55867</t>
  </si>
  <si>
    <t>Eletroduto (3 m) PVC rígido rosq. - 85 mm</t>
  </si>
  <si>
    <t>SI - 40802</t>
  </si>
  <si>
    <t>Eletroduto- PVC rígido rosq. - 25 mm</t>
  </si>
  <si>
    <t>SI - 76029</t>
  </si>
  <si>
    <t>Curva 90°-aço galv. Raio longo- 85 mm</t>
  </si>
  <si>
    <t>SI - 76028</t>
  </si>
  <si>
    <t>Curva 90°-PVC rígido raio longo- 85 mm</t>
  </si>
  <si>
    <t>SI-855</t>
  </si>
  <si>
    <t>Buchas, porcas e arruelas de PVC de 5"x3"</t>
  </si>
  <si>
    <t>cj</t>
  </si>
  <si>
    <t>SI - 73542</t>
  </si>
  <si>
    <t>Buchas, porcas e arruelas 2"x3/4"</t>
  </si>
  <si>
    <t>SI - 73860/16</t>
  </si>
  <si>
    <t>Condutor de cobre isolado # 95 mm2</t>
  </si>
  <si>
    <t>SI - 73860/14</t>
  </si>
  <si>
    <t>PI - 333</t>
  </si>
  <si>
    <t>Arame de aço galvanizado nº 14 BWG</t>
  </si>
  <si>
    <t>SI - 74130/10</t>
  </si>
  <si>
    <t>Disjuntor termomagnético tripolar de 175 A</t>
  </si>
  <si>
    <t>SI - 1061</t>
  </si>
  <si>
    <t>Caixa para medidor e disjuntor- CM-3</t>
  </si>
  <si>
    <t>SI-68069</t>
  </si>
  <si>
    <t>Haste de aterramento 5/8 X 240 mm</t>
  </si>
  <si>
    <t>SI- 76032</t>
  </si>
  <si>
    <t>Caixa para aterramento</t>
  </si>
  <si>
    <t>SI - 72251</t>
  </si>
  <si>
    <t>Condutor cabo de cobre nu #16 mm2</t>
  </si>
  <si>
    <t>11.2</t>
  </si>
  <si>
    <t>Instalações Internas e Externas</t>
  </si>
  <si>
    <t>11.2.1</t>
  </si>
  <si>
    <t>Fornecimento e instalação de quadro de distribuição de circuitos completo, em chapa metálica, de embutir  com barramento trifásico para:</t>
  </si>
  <si>
    <t>SI-13391</t>
  </si>
  <si>
    <t>- 6 disjuntores</t>
  </si>
  <si>
    <t>SI - 10405</t>
  </si>
  <si>
    <t>- 12 disjuntores</t>
  </si>
  <si>
    <r>
      <t xml:space="preserve">SI - </t>
    </r>
    <r>
      <rPr>
        <sz val="10"/>
        <rFont val="Arial"/>
        <family val="2"/>
      </rPr>
      <t xml:space="preserve">13395 </t>
    </r>
  </si>
  <si>
    <t>- 18 disjuntores</t>
  </si>
  <si>
    <t>SI - 74130/1</t>
  </si>
  <si>
    <t>Instalação disjuntor monofasico  de 10A a 30A</t>
  </si>
  <si>
    <t>SI - 26324/3</t>
  </si>
  <si>
    <t>Instalação disjuntor bifasico, de 10A a 50A</t>
  </si>
  <si>
    <t>SI - 74130/4</t>
  </si>
  <si>
    <t>Instalação disjuntor trifasico, de 15 A</t>
  </si>
  <si>
    <t>Instalação de dispositivo DR - 4P-220 V de 25A, 40A e 63A</t>
  </si>
  <si>
    <t>11.2.6</t>
  </si>
  <si>
    <t>Instalação de luminária fluorescente completa, inclusive  reator</t>
  </si>
  <si>
    <t>SI - 26322/1</t>
  </si>
  <si>
    <t>- 1x20 W</t>
  </si>
  <si>
    <t>SI - 26322/2</t>
  </si>
  <si>
    <t>- 2x20W</t>
  </si>
  <si>
    <t>SI - 26322/6</t>
  </si>
  <si>
    <t>- 2x40 A</t>
  </si>
  <si>
    <t>SI - 68705/1</t>
  </si>
  <si>
    <t>Instalação de luminária incandescente completa (arandelas e teto) de 60 W</t>
  </si>
  <si>
    <t>11.2.8</t>
  </si>
  <si>
    <t>Cabo flexível:</t>
  </si>
  <si>
    <t>SI - 73860/8</t>
  </si>
  <si>
    <t>-  2,5 mm2</t>
  </si>
  <si>
    <t>SI - 73860/9</t>
  </si>
  <si>
    <t>- 4,0 mm2</t>
  </si>
  <si>
    <t>SI - 73860/10</t>
  </si>
  <si>
    <t>- 6,0 mm2</t>
  </si>
  <si>
    <t>SI - 73860/11</t>
  </si>
  <si>
    <t>- 10,0 mm2</t>
  </si>
  <si>
    <t>SI - 73860/12</t>
  </si>
  <si>
    <t>- 16,0 mm2</t>
  </si>
  <si>
    <t>SI - 73860/13</t>
  </si>
  <si>
    <t>- 25 mm2</t>
  </si>
  <si>
    <t>SETOP CAB-CAB-010</t>
  </si>
  <si>
    <t>Cabo para rede logica</t>
  </si>
  <si>
    <t>SI - 73768</t>
  </si>
  <si>
    <t>Fio Telefônico</t>
  </si>
  <si>
    <t>11.2.11</t>
  </si>
  <si>
    <t>Eletroduto de PVC rígido roscável classe B  -NBR 6150-inclusive rasgos e enchimento de alvenaria</t>
  </si>
  <si>
    <t>SI - 2682</t>
  </si>
  <si>
    <t>- 2 1/2"</t>
  </si>
  <si>
    <t>SI - 55866</t>
  </si>
  <si>
    <t>-  2"</t>
  </si>
  <si>
    <t>SI - 55865</t>
  </si>
  <si>
    <t>- 1 1/2"</t>
  </si>
  <si>
    <t>- 1 1/4"</t>
  </si>
  <si>
    <t>11.2.12</t>
  </si>
  <si>
    <t>Curva 90° para eletroduto de PVC rígido roscável classe B(NBR 6150):</t>
  </si>
  <si>
    <t>SI-76019</t>
  </si>
  <si>
    <t>SI - 75826</t>
  </si>
  <si>
    <t>SI - 1874</t>
  </si>
  <si>
    <t>11.2.13</t>
  </si>
  <si>
    <t>Luva para eletroduto de PVC rígido roscável classe B(NBR 6150):</t>
  </si>
  <si>
    <t>SI - 75831</t>
  </si>
  <si>
    <t>SI - 76146</t>
  </si>
  <si>
    <t>11.2.14</t>
  </si>
  <si>
    <t>Eletroduto de pvc flexivel, inclusive rasgos e enchimentos em alvenaria</t>
  </si>
  <si>
    <t>SI - 72936</t>
  </si>
  <si>
    <t>- 32 mm - 1"</t>
  </si>
  <si>
    <t>SI - 72935</t>
  </si>
  <si>
    <t>- 25 mm - 3/4"</t>
  </si>
  <si>
    <t>SI-10569</t>
  </si>
  <si>
    <t>11.2.15</t>
  </si>
  <si>
    <t>Caixa de  chapa esmaltada de fundo móvel de 3" para teto</t>
  </si>
  <si>
    <t>Caixa plastica de:</t>
  </si>
  <si>
    <t>- 2x4"</t>
  </si>
  <si>
    <t>- 4x4"</t>
  </si>
  <si>
    <t>11.2.16</t>
  </si>
  <si>
    <t>Caixa de ferro esmaltada de:</t>
  </si>
  <si>
    <t>SI - 7528</t>
  </si>
  <si>
    <t>Tomada do tipo universal , completa</t>
  </si>
  <si>
    <t>SI - 12145</t>
  </si>
  <si>
    <t xml:space="preserve">Tomada 2P+T de piso, completa </t>
  </si>
  <si>
    <t>SI - 75836</t>
  </si>
  <si>
    <t xml:space="preserve">Tomada 2P+T de parede, completa </t>
  </si>
  <si>
    <t>SI - 72337</t>
  </si>
  <si>
    <t>Tomada de telefone de embutir,4 pinos, padrão Telebrás, com espelho 4x4"</t>
  </si>
  <si>
    <t>SI-7556</t>
  </si>
  <si>
    <t>Interruptor simples com tomada universal</t>
  </si>
  <si>
    <t>SI - 72331</t>
  </si>
  <si>
    <t>Interruptor simples 1 tecla</t>
  </si>
  <si>
    <t>SI - 72332</t>
  </si>
  <si>
    <t>Interruptor simples 2 teclas</t>
  </si>
  <si>
    <t>SI - 75828</t>
  </si>
  <si>
    <t>Interruptor simples 3 teclas</t>
  </si>
  <si>
    <t>SI - 72334</t>
  </si>
  <si>
    <t>Interruptor paralelo 1 tecla</t>
  </si>
  <si>
    <t>SI - 72335</t>
  </si>
  <si>
    <t>Placa 2x4" de poliestireno cinza com furo central para chuveiros e antena de TV</t>
  </si>
  <si>
    <t>Caixa de passagem 15x15x8 cm</t>
  </si>
  <si>
    <t>SI-76449/1</t>
  </si>
  <si>
    <t>Caixa de passagem 20x20x12 cm</t>
  </si>
  <si>
    <t>SI 76449/1</t>
  </si>
  <si>
    <t>Caixa para telefone de 20x20x8 cm</t>
  </si>
  <si>
    <t>SI-76449/2</t>
  </si>
  <si>
    <t>Caixa para telefone de 30x30x12 cm</t>
  </si>
  <si>
    <t>SI 76449/2</t>
  </si>
  <si>
    <t>Caixa para telefone de 40x40x12 cm</t>
  </si>
  <si>
    <t>SI 68069</t>
  </si>
  <si>
    <t>Haste de aterramento tipo Coperweld -5/8" X 210 mm</t>
  </si>
  <si>
    <t>SI - 10404/1</t>
  </si>
  <si>
    <t>Caixa de passagem em alvenaria   40x40x50 cm com tampa de concreto</t>
  </si>
  <si>
    <t>Total do item 11</t>
  </si>
  <si>
    <t>INSTALAÇOES HIDRO-SANITÁRIAS</t>
  </si>
  <si>
    <t>12.1</t>
  </si>
  <si>
    <t>Instalações Hidráulicas</t>
  </si>
  <si>
    <t>12.1.1</t>
  </si>
  <si>
    <t xml:space="preserve">Tubo de PVC rígido, soldável, inclusive conexões, diâmetro de: </t>
  </si>
  <si>
    <t>-20 mm</t>
  </si>
  <si>
    <t>SI - 75030/1</t>
  </si>
  <si>
    <t>- 25 mm</t>
  </si>
  <si>
    <t>SI - 75030/2</t>
  </si>
  <si>
    <t>- 32 mm</t>
  </si>
  <si>
    <t>SI - 75030/4</t>
  </si>
  <si>
    <t>- 50 mm</t>
  </si>
  <si>
    <t>SI - 75030/5</t>
  </si>
  <si>
    <t>- 60 mm</t>
  </si>
  <si>
    <t>12.1.2</t>
  </si>
  <si>
    <t>Registro de gaveta bruto, diâmetro de:</t>
  </si>
  <si>
    <t>SI-72711</t>
  </si>
  <si>
    <t>- 1/2"</t>
  </si>
  <si>
    <t>SI - 74185/1</t>
  </si>
  <si>
    <t>- 3/4"</t>
  </si>
  <si>
    <t>SI - 74184/1</t>
  </si>
  <si>
    <t>- 1"</t>
  </si>
  <si>
    <t>SI - 74182/1</t>
  </si>
  <si>
    <t>-1 1/2"</t>
  </si>
  <si>
    <t>SI - 74181/1</t>
  </si>
  <si>
    <t>- 2"</t>
  </si>
  <si>
    <t>12.1.3</t>
  </si>
  <si>
    <t>Joelho de redução 90° soldável azul com bucha de latão:</t>
  </si>
  <si>
    <t>SI - 72509</t>
  </si>
  <si>
    <t>- 25x1/2"</t>
  </si>
  <si>
    <t>SI - 72510</t>
  </si>
  <si>
    <t>- 25x3/4"</t>
  </si>
  <si>
    <t>Tê de redução 90° soldável azul com bucha de latão B central :</t>
  </si>
  <si>
    <t>PI - 7137</t>
  </si>
  <si>
    <t>Registro de pressão com canopla cromada, diâmetro de:</t>
  </si>
  <si>
    <t>SI - 24212/1</t>
  </si>
  <si>
    <t>12.1.6</t>
  </si>
  <si>
    <t>Registro de gaveta com canopla cromada, diâmetro de:</t>
  </si>
  <si>
    <t>SI - 24208/1</t>
  </si>
  <si>
    <t>SI - 74175/1</t>
  </si>
  <si>
    <t>SI - 24206/1</t>
  </si>
  <si>
    <t>SI - 26579/4</t>
  </si>
  <si>
    <t>Valvula de descarga cromada de 1 1/2", c/ registro</t>
  </si>
  <si>
    <t>SI-1031</t>
  </si>
  <si>
    <t>Tubo de descarga de 1 1/2"</t>
  </si>
  <si>
    <t>SI - 73949/1</t>
  </si>
  <si>
    <t>Torneira para jardim 1/2" cromada com bico para mangueira</t>
  </si>
  <si>
    <t>Total do item 12.1</t>
  </si>
  <si>
    <t>12.2</t>
  </si>
  <si>
    <t>Esgoto Sanitário e Drenagem Pluvial</t>
  </si>
  <si>
    <t>12.2.1</t>
  </si>
  <si>
    <t>Tubo de PVC soldável para esgoto, inclusive conexões</t>
  </si>
  <si>
    <t>SI - 74168/1</t>
  </si>
  <si>
    <t>- 150 mm</t>
  </si>
  <si>
    <t>SI - 74168/2</t>
  </si>
  <si>
    <t>- 100 mm</t>
  </si>
  <si>
    <t>SI - 74165/3</t>
  </si>
  <si>
    <t>- 75 mm</t>
  </si>
  <si>
    <t>SI - 74165/2</t>
  </si>
  <si>
    <t>SI - 74165/1</t>
  </si>
  <si>
    <t>- 40 mm</t>
  </si>
  <si>
    <t>SI - 72684</t>
  </si>
  <si>
    <t>Ralo seco 100x100, com porta grelha cromada e grelha redonda de aluminio com opção para abrir e fechar</t>
  </si>
  <si>
    <t>SI-40777</t>
  </si>
  <si>
    <t>Caixa sifonada 150x150x50 mm, com porta grelha cromada e grelha redonda de aluminio com opção para abrir e fechar</t>
  </si>
  <si>
    <t>SI-74225/1</t>
  </si>
  <si>
    <t>Caixa  de gordura  250x230x75 mm, com porta grelha cromada e grelha redonda de aluminio com opção para abrir e fechar</t>
  </si>
  <si>
    <t>SI - 68472/2</t>
  </si>
  <si>
    <t>Caixas de inspeção (gordura, esgoto e águas pluviais) com dimensões medias de 70x50x60 cm, em alvenaria de tijolo maciço, revestida internamente com argamassa  de cimento e areia 1:4,inclusive tampa de concreto</t>
  </si>
  <si>
    <t>Total do item 12.2</t>
  </si>
  <si>
    <t>12.3</t>
  </si>
  <si>
    <t>Aparelhos e Metais</t>
  </si>
  <si>
    <t>Cuba de embutir oval grande, de louça branca, com acessórios, exclusive torneira</t>
  </si>
  <si>
    <t>SI - 26576/3</t>
  </si>
  <si>
    <t>Torneira para lavatório cromada padrão médio</t>
  </si>
  <si>
    <t>SI - 26581/21</t>
  </si>
  <si>
    <r>
      <t xml:space="preserve">SI - </t>
    </r>
    <r>
      <rPr>
        <sz val="10"/>
        <rFont val="Arial"/>
        <family val="2"/>
      </rPr>
      <t xml:space="preserve">11786 </t>
    </r>
  </si>
  <si>
    <t>Bacia sifonada infantil, de louça branca, completa, exceto válvula de descaga</t>
  </si>
  <si>
    <t>SI - 11547</t>
  </si>
  <si>
    <t>Assento para bacia sifonada, cor branca</t>
  </si>
  <si>
    <t>SI - 74113</t>
  </si>
  <si>
    <t>Assento para bacia sifonada infantil, cor branca</t>
  </si>
  <si>
    <t>SI- 11531/1</t>
  </si>
  <si>
    <t>SI-73949/5</t>
  </si>
  <si>
    <t>SI - 75811</t>
  </si>
  <si>
    <t>SI - 11539/1</t>
  </si>
  <si>
    <t>Mictório de louça branca e acessórios cromados</t>
  </si>
  <si>
    <t>SI - 11545/1</t>
  </si>
  <si>
    <t>Bojo de aço inox, 400x340x170mm, acabamento polido, completa, exclusive torneira</t>
  </si>
  <si>
    <t xml:space="preserve">Torneira para pia de bancada </t>
  </si>
  <si>
    <t>SI - 6049</t>
  </si>
  <si>
    <t>Tanque duplo de marmore sintético com 1,20 m, completo, inclusive torneira</t>
  </si>
  <si>
    <t>SI - 9535</t>
  </si>
  <si>
    <t xml:space="preserve">Ducha elétrica </t>
  </si>
  <si>
    <t>SI - 10108</t>
  </si>
  <si>
    <t>Cabide de louça branca simples (Box  com chuveiro)</t>
  </si>
  <si>
    <t>SI - 10106</t>
  </si>
  <si>
    <t>Papeleira de louça branca</t>
  </si>
  <si>
    <t>SI-11703</t>
  </si>
  <si>
    <t>Papeleira inox para toalhas de papel</t>
  </si>
  <si>
    <t>SI - 9876</t>
  </si>
  <si>
    <t>Porta sabão liquido de vidro com suporte em aço inox</t>
  </si>
  <si>
    <t>Total do item 12.3</t>
  </si>
  <si>
    <t>Total do item 12</t>
  </si>
  <si>
    <t>PREVENÇÃO E COMBATE A INCÊNDIO</t>
  </si>
  <si>
    <t xml:space="preserve">Placa E5- indicação de extintor </t>
  </si>
  <si>
    <t>Sinalização de direção do fluxo da rota de fuga (S1,S2,S3)  de 320x160 mm</t>
  </si>
  <si>
    <t>Placa de indicação de saída de emergência -S12 - de 320x160 mm</t>
  </si>
  <si>
    <t>Total do item 13</t>
  </si>
  <si>
    <t>DIVERSOS</t>
  </si>
  <si>
    <t>SI-76014</t>
  </si>
  <si>
    <t>Barra de apoio inox para PNE (para vasos sanitários) L=80 cm</t>
  </si>
  <si>
    <t>SI-68544/1</t>
  </si>
  <si>
    <t>Placa de inauguração 60x38 cm em aluminio fundido</t>
  </si>
  <si>
    <t>SI-74126/1</t>
  </si>
  <si>
    <t>Bancada de guichê em  granito cinza andorinha 1,00 x 0,60 m, com acabamento abaulado</t>
  </si>
  <si>
    <t>SI-23744/1</t>
  </si>
  <si>
    <t xml:space="preserve">Passeio público cimentado, com acabamento  aspero, com junta seca a cada 1,00 m , em concreto magro 1:4:8, e=5 cm, regularizado com argamassa de cimento e areia 1:4, e= 1 cm (inclusive acerto e apiloamento do terreno) </t>
  </si>
  <si>
    <t>SI 16064</t>
  </si>
  <si>
    <t>Plantio de grama</t>
  </si>
  <si>
    <t>SI 6514</t>
  </si>
  <si>
    <t>Pátio de brita e=5 cm</t>
  </si>
  <si>
    <t>Muro de divisa de tijolo cerâmico furado (e=10 cm), rebocado e pintado a latex , com altura de 2,50 m, inclusive fundação</t>
  </si>
  <si>
    <t>14.10</t>
  </si>
  <si>
    <t>Muro com calha V, altura =2,50 m</t>
  </si>
  <si>
    <t>Mureta de bloco de concreto  e=25 cm (acabada) chapiscada, rebocada (1:4) e pintada  (latex acrilica) com pilares espaçados de 2,00 m, inclusive fundação</t>
  </si>
  <si>
    <t>Total do item 14</t>
  </si>
  <si>
    <t>LIMPEZA</t>
  </si>
  <si>
    <t>SI 24944</t>
  </si>
  <si>
    <t>Limpeza final da obra (pisos, vidros, revestimentos, louças sanitárias, área externa, etc).</t>
  </si>
  <si>
    <t>Total do item 15</t>
  </si>
  <si>
    <t>BDI</t>
  </si>
  <si>
    <t>%</t>
  </si>
  <si>
    <t xml:space="preserve"> Cabo de cobre isolado #50 mm2</t>
  </si>
  <si>
    <t>74125/2</t>
  </si>
  <si>
    <t>SI - 74126/1</t>
  </si>
  <si>
    <t>- 25mmx1/2"</t>
  </si>
  <si>
    <t>PRAÇA</t>
  </si>
  <si>
    <t xml:space="preserve">Bancada de  granito </t>
  </si>
  <si>
    <t>6.10</t>
  </si>
  <si>
    <t>9.3</t>
  </si>
  <si>
    <t>10.2</t>
  </si>
  <si>
    <t>9.1</t>
  </si>
  <si>
    <t>14.9</t>
  </si>
  <si>
    <t>CCU</t>
  </si>
  <si>
    <t>8.5</t>
  </si>
  <si>
    <t>14.1</t>
  </si>
  <si>
    <t>10.3</t>
  </si>
  <si>
    <t>10.1</t>
  </si>
  <si>
    <t>8.3</t>
  </si>
  <si>
    <t>8.4</t>
  </si>
  <si>
    <t>14.6</t>
  </si>
  <si>
    <t>4.4</t>
  </si>
  <si>
    <t>11.1.9</t>
  </si>
  <si>
    <t>9.5</t>
  </si>
  <si>
    <t>9.2</t>
  </si>
  <si>
    <t>9.4</t>
  </si>
  <si>
    <t>12.3.10</t>
  </si>
  <si>
    <t>Torneira de bancada p/ lavatórios e pias, cromada c/  alavanca para acionamento com cotovelo, bica alta - linha cirurgica</t>
  </si>
  <si>
    <t>14.11</t>
  </si>
  <si>
    <t>10.5</t>
  </si>
  <si>
    <t>MERCADO</t>
  </si>
  <si>
    <t>14.7</t>
  </si>
  <si>
    <t>15.1</t>
  </si>
  <si>
    <t>12.3.1</t>
  </si>
  <si>
    <t>12.3.13</t>
  </si>
  <si>
    <t>26308/2 + 26309/1</t>
  </si>
  <si>
    <t>Reservatório de água de fibra -500 l, completo, inclusive torneira de boia</t>
  </si>
  <si>
    <t>11.2.9</t>
  </si>
  <si>
    <t>10.4</t>
  </si>
  <si>
    <t>6.4</t>
  </si>
  <si>
    <t>14.8</t>
  </si>
  <si>
    <t>12.1.7</t>
  </si>
  <si>
    <t>12.3.8</t>
  </si>
  <si>
    <t>6.9</t>
  </si>
  <si>
    <t>7.8</t>
  </si>
  <si>
    <t>11.1.10</t>
  </si>
  <si>
    <t>12.3.2</t>
  </si>
  <si>
    <t>6.1</t>
  </si>
  <si>
    <t>12.2.5</t>
  </si>
  <si>
    <t>6.2</t>
  </si>
  <si>
    <t>12.3.3</t>
  </si>
  <si>
    <t>Bacia sifonada de louça branca, completa, exceto valvula de descarga</t>
  </si>
  <si>
    <t>11.1.3</t>
  </si>
  <si>
    <t>12.2.3</t>
  </si>
  <si>
    <t>14.5</t>
  </si>
  <si>
    <t>Espelho 4 mm de 3,50x0,90 m, com parafusos cromados (escovário)</t>
  </si>
  <si>
    <t>11.1.12</t>
  </si>
  <si>
    <t>8.6</t>
  </si>
  <si>
    <t>11.2.17</t>
  </si>
  <si>
    <t>12.3.7</t>
  </si>
  <si>
    <t>13.1</t>
  </si>
  <si>
    <t>Extintor de Pó ABC - 6 Kg</t>
  </si>
  <si>
    <t>14.4</t>
  </si>
  <si>
    <t>11.2.3</t>
  </si>
  <si>
    <t>11.1.15</t>
  </si>
  <si>
    <t>11.2.5</t>
  </si>
  <si>
    <t>11.2.29</t>
  </si>
  <si>
    <t>11.2.31</t>
  </si>
  <si>
    <t>12.3.16</t>
  </si>
  <si>
    <t>14.3</t>
  </si>
  <si>
    <t>14.2</t>
  </si>
  <si>
    <t>12.1.9</t>
  </si>
  <si>
    <t>12.2.4</t>
  </si>
  <si>
    <t>13.5</t>
  </si>
  <si>
    <t>Iluminação de emergência (Aclaramento)</t>
  </si>
  <si>
    <t>11.2.10</t>
  </si>
  <si>
    <t>11.2.33</t>
  </si>
  <si>
    <t>12.3.17</t>
  </si>
  <si>
    <t>11.2.19</t>
  </si>
  <si>
    <t>11.1.2</t>
  </si>
  <si>
    <t>12.3.11</t>
  </si>
  <si>
    <t>13.6</t>
  </si>
  <si>
    <t>12.1.5</t>
  </si>
  <si>
    <t>12.3.4</t>
  </si>
  <si>
    <t>11.1.14</t>
  </si>
  <si>
    <t>11.2.2</t>
  </si>
  <si>
    <t>11.2.22</t>
  </si>
  <si>
    <t>11.2.32</t>
  </si>
  <si>
    <t>12.3.15</t>
  </si>
  <si>
    <t>11.1.6</t>
  </si>
  <si>
    <t>12.3.5</t>
  </si>
  <si>
    <t>11.2.28</t>
  </si>
  <si>
    <t>13.4</t>
  </si>
  <si>
    <t>Iluminação de emergência (Balizamento)</t>
  </si>
  <si>
    <t>12.3.12</t>
  </si>
  <si>
    <t>13.7</t>
  </si>
  <si>
    <t>13.2</t>
  </si>
  <si>
    <t>Extintor de Pó BC - 6 Kg</t>
  </si>
  <si>
    <t>11.2.30</t>
  </si>
  <si>
    <t>11.1.13</t>
  </si>
  <si>
    <t>11.1.16</t>
  </si>
  <si>
    <t>11.2.7</t>
  </si>
  <si>
    <t>11.2.4</t>
  </si>
  <si>
    <t>12.3.9</t>
  </si>
  <si>
    <t>11.2.27</t>
  </si>
  <si>
    <t>11.2.21</t>
  </si>
  <si>
    <t>12.3.14</t>
  </si>
  <si>
    <t>11.1.5</t>
  </si>
  <si>
    <t>11.2.23</t>
  </si>
  <si>
    <t>11.2.25</t>
  </si>
  <si>
    <t>12.1.4</t>
  </si>
  <si>
    <t>11.2.18</t>
  </si>
  <si>
    <t>12.3.6</t>
  </si>
  <si>
    <t>11.2.20</t>
  </si>
  <si>
    <t>12.1.8</t>
  </si>
  <si>
    <t>11.1.8</t>
  </si>
  <si>
    <t>13.8</t>
  </si>
  <si>
    <t>Placa de indicação de prevenção e combate a incêndio -M1</t>
  </si>
  <si>
    <t>13.3</t>
  </si>
  <si>
    <t>11.2.24</t>
  </si>
  <si>
    <t>12.2.2</t>
  </si>
  <si>
    <t>11.1.4</t>
  </si>
  <si>
    <t>11.1.1</t>
  </si>
  <si>
    <t>11.2.26</t>
  </si>
  <si>
    <t>11.1.7</t>
  </si>
  <si>
    <t>11.1.11</t>
  </si>
  <si>
    <t>PREFEITURA MUNICIPAL DE PATOS DE MINAS</t>
  </si>
  <si>
    <t>Secretaria Municipal de Planejamento e Urbanismo</t>
  </si>
  <si>
    <t>PLANILHA ORÇAMENTÁRIA</t>
  </si>
  <si>
    <t>PROGRAMA: ESTRUTURAÇÃO DA ATENÇÃO BASICA À SAUDE</t>
  </si>
  <si>
    <t>CONTRATO:0276370-00</t>
  </si>
  <si>
    <t>PROJETO: TERMINO DE CONSTRUÇÃO DE UNIDADE BASICA DE SAUDE</t>
  </si>
  <si>
    <t>LOCAL: BAIRRO JARDIM PANORÂMICO - PATOS DE MINAS/MG</t>
  </si>
  <si>
    <t>REFERÊNCIA DE PREÇOS: TABELA SINAPI, PRAÇA</t>
  </si>
  <si>
    <t>DATA DE REFERÊNCIA:</t>
  </si>
  <si>
    <t>DATA:</t>
  </si>
  <si>
    <t>BDI:</t>
  </si>
  <si>
    <t>REFERÊNCIAS PREÇOS</t>
  </si>
  <si>
    <t>ITEM</t>
  </si>
  <si>
    <t>DESCRIÇÃO DOS SERVIÇOS</t>
  </si>
  <si>
    <t>UN.</t>
  </si>
  <si>
    <t>QUANT. LICITADA</t>
  </si>
  <si>
    <t>QUANT. ACUMULADA EXECUTADA</t>
  </si>
  <si>
    <t>QUANT. A LICITAR</t>
  </si>
  <si>
    <t>VALOR UNITÁRIO LICITADO</t>
  </si>
  <si>
    <t>VALOR UNITÁRIO  S/BDI</t>
  </si>
  <si>
    <t>VALOR TOTAL LICITADO</t>
  </si>
  <si>
    <t>VALOR TOTAL EXECUTADO</t>
  </si>
  <si>
    <t>PREFEITURA  DE PATOS DE MINAS</t>
  </si>
  <si>
    <t>Secretaria  Municipal de Planejamento e Urbanismo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</si>
  <si>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</si>
  <si>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</si>
  <si>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</si>
  <si>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</si>
  <si>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</si>
  <si>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</si>
  <si>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</si>
  <si>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</si>
  <si>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</si>
  <si>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</si>
  <si>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</si>
  <si>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</si>
  <si>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</si>
  <si>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</si>
  <si>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</si>
  <si>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</si>
  <si>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</si>
  <si>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</si>
  <si>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</si>
  <si>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</si>
  <si>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</si>
  <si>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CRONOGRAMA FISICO FINANCEIRO</t>
  </si>
  <si>
    <t xml:space="preserve">VALOR DOS  </t>
  </si>
  <si>
    <t>SERVIÇOS A EXECUTAR</t>
  </si>
  <si>
    <t xml:space="preserve">DISCRIMINAÇÃO  </t>
  </si>
  <si>
    <t>SERVIÇOS</t>
  </si>
  <si>
    <t>PESO</t>
  </si>
  <si>
    <t>ESPECIF.</t>
  </si>
  <si>
    <t>MÊS -  1</t>
  </si>
  <si>
    <t>MÊS -  2</t>
  </si>
  <si>
    <t>MÊS - 3</t>
  </si>
  <si>
    <t>MÊS -  4</t>
  </si>
  <si>
    <t>MÊS -  5</t>
  </si>
  <si>
    <t>MÊS -  6</t>
  </si>
  <si>
    <t>DE SERVIÇOS</t>
  </si>
  <si>
    <t>R$</t>
  </si>
  <si>
    <t>SIMPL</t>
  </si>
  <si>
    <t>ACUM.</t>
  </si>
  <si>
    <t>SIMPL.%</t>
  </si>
  <si>
    <t>ACUM. %</t>
  </si>
  <si>
    <t>1.0</t>
  </si>
  <si>
    <t>FISICO</t>
  </si>
  <si>
    <t>FINACEIRO</t>
  </si>
  <si>
    <t>2.0</t>
  </si>
  <si>
    <t>3.0</t>
  </si>
  <si>
    <t>ESTRUTURA DE CONCRETO ARMADO</t>
  </si>
  <si>
    <t>4.0</t>
  </si>
  <si>
    <t>PAREDES E DIVISORIAS</t>
  </si>
  <si>
    <t>5.0</t>
  </si>
  <si>
    <t>6.0</t>
  </si>
  <si>
    <t>ESQUADRIAS METALICAS</t>
  </si>
  <si>
    <t>7.0</t>
  </si>
  <si>
    <t>8.0</t>
  </si>
  <si>
    <t>9.0</t>
  </si>
  <si>
    <t>10.0</t>
  </si>
  <si>
    <t>11.0</t>
  </si>
  <si>
    <t>INSTALAÇÕES ELÉTRICAS, TELEFONE E REDE LOGICA</t>
  </si>
  <si>
    <t>12.0</t>
  </si>
  <si>
    <t>INSTALAÇÕES HIDRO SANITARIAS</t>
  </si>
  <si>
    <t>INSTALAÇÕES HIDRAULICAS</t>
  </si>
  <si>
    <t>INSTALAÇÕES SANITÁRIAS</t>
  </si>
  <si>
    <t>APARELHOS E METAIS</t>
  </si>
  <si>
    <t>13.0</t>
  </si>
  <si>
    <t>PREVENÇÃO E COMBATE A INCENDIO</t>
  </si>
  <si>
    <t>14.0</t>
  </si>
  <si>
    <t>15.0</t>
  </si>
  <si>
    <t>TOTAL (%)</t>
  </si>
  <si>
    <t>TOTAL (R$)</t>
  </si>
  <si>
    <t>DATA BASE:</t>
  </si>
  <si>
    <t>MÊS - 4</t>
  </si>
  <si>
    <t>PROF. RESP.: MARIA IGNES SILVERIO</t>
  </si>
  <si>
    <t>CREA:MG-30.465/D</t>
  </si>
  <si>
    <t>ART: 767429</t>
  </si>
  <si>
    <t>PRAZO DE EXECUÇÃO: 4 MESES</t>
  </si>
  <si>
    <t xml:space="preserve">TOTAL GERAL 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</si>
</sst>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dd/mm/yy"/>
    <numFmt numFmtId="166" formatCode="_(* #,##0.000_);_(* \(#,##0.000\);_(* &quot;-&quot;??_);_(@_)"/>
    <numFmt numFmtId="167" formatCode="_(* #,##0.0000_);_(* \(#,##0.0000\);_(* &quot;-&quot;??_);_(@_)"/>
    <numFmt numFmtId="168" formatCode="_(* #,##0.0000_);_(* \(#,##0.0000\);_(* &quot;-&quot;????_);_(@_)"/>
    <numFmt numFmtId="169" formatCode="mmm\-yy"/>
    <numFmt numFmtId="170" formatCode="d/m/yy"/>
    <numFmt numFmtId="171" formatCode="&quot;R$&quot;#,##0.00_);[Red]\(&quot;R$&quot;#,##0.00\)"/>
    <numFmt numFmtId="172" formatCode="_(* #,##0.000_);_(* \(#,##0.000\);_(* &quot;-&quot;???_);_(@_)"/>
    <numFmt numFmtId="173" formatCode="0.000"/>
  </numFmts>
  <fonts count="3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345">
    <xf numFmtId="0" fontId="0" fillId="0" borderId="0" xfId="0" applyAlignment="1">
      <alignment/>
    </xf>
    <xf numFmtId="0" fontId="1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Font="1" applyFill="1" applyBorder="1" applyAlignment="1" applyProtection="1">
      <alignment/>
      <protection/>
    </xf>
    <xf numFmtId="43" fontId="0" fillId="24" borderId="10" xfId="54" applyFont="1" applyFill="1" applyBorder="1" applyAlignment="1" applyProtection="1">
      <alignment horizontal="center"/>
      <protection/>
    </xf>
    <xf numFmtId="43" fontId="0" fillId="24" borderId="10" xfId="54" applyFont="1" applyFill="1" applyBorder="1" applyAlignment="1" applyProtection="1">
      <alignment/>
      <protection/>
    </xf>
    <xf numFmtId="0" fontId="0" fillId="24" borderId="11" xfId="0" applyNumberFormat="1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/>
      <protection/>
    </xf>
    <xf numFmtId="43" fontId="0" fillId="24" borderId="11" xfId="54" applyFont="1" applyFill="1" applyBorder="1" applyAlignment="1" applyProtection="1">
      <alignment horizontal="center"/>
      <protection/>
    </xf>
    <xf numFmtId="43" fontId="0" fillId="24" borderId="11" xfId="54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 horizontal="left" vertical="top" wrapText="1"/>
      <protection/>
    </xf>
    <xf numFmtId="0" fontId="0" fillId="24" borderId="11" xfId="0" applyFont="1" applyFill="1" applyBorder="1" applyAlignment="1" applyProtection="1">
      <alignment vertical="top" wrapText="1"/>
      <protection/>
    </xf>
    <xf numFmtId="0" fontId="0" fillId="24" borderId="11" xfId="0" applyFont="1" applyFill="1" applyBorder="1" applyAlignment="1" applyProtection="1">
      <alignment horizontal="left" wrapText="1"/>
      <protection/>
    </xf>
    <xf numFmtId="49" fontId="0" fillId="24" borderId="11" xfId="0" applyNumberFormat="1" applyFont="1" applyFill="1" applyBorder="1" applyAlignment="1" applyProtection="1">
      <alignment horizontal="center"/>
      <protection/>
    </xf>
    <xf numFmtId="43" fontId="0" fillId="24" borderId="11" xfId="54" applyFont="1" applyFill="1" applyBorder="1" applyAlignment="1" applyProtection="1">
      <alignment horizontal="right"/>
      <protection/>
    </xf>
    <xf numFmtId="0" fontId="0" fillId="24" borderId="11" xfId="0" applyFont="1" applyFill="1" applyBorder="1" applyAlignment="1" applyProtection="1">
      <alignment wrapText="1"/>
      <protection/>
    </xf>
    <xf numFmtId="43" fontId="0" fillId="24" borderId="11" xfId="54" applyFont="1" applyFill="1" applyBorder="1" applyAlignment="1" applyProtection="1">
      <alignment horizontal="right" wrapText="1"/>
      <protection/>
    </xf>
    <xf numFmtId="0" fontId="0" fillId="24" borderId="11" xfId="0" applyFont="1" applyFill="1" applyBorder="1" applyAlignment="1" applyProtection="1">
      <alignment horizontal="center"/>
      <protection/>
    </xf>
    <xf numFmtId="2" fontId="0" fillId="24" borderId="11" xfId="0" applyNumberFormat="1" applyFont="1" applyFill="1" applyBorder="1" applyAlignment="1" applyProtection="1">
      <alignment/>
      <protection/>
    </xf>
    <xf numFmtId="2" fontId="0" fillId="24" borderId="11" xfId="54" applyNumberFormat="1" applyFont="1" applyFill="1" applyBorder="1" applyAlignment="1" applyProtection="1">
      <alignment horizontal="center"/>
      <protection/>
    </xf>
    <xf numFmtId="0" fontId="5" fillId="24" borderId="11" xfId="0" applyNumberFormat="1" applyFont="1" applyFill="1" applyBorder="1" applyAlignment="1" applyProtection="1">
      <alignment horizontal="center" vertical="top"/>
      <protection/>
    </xf>
    <xf numFmtId="2" fontId="5" fillId="24" borderId="11" xfId="0" applyNumberFormat="1" applyFont="1" applyFill="1" applyBorder="1" applyAlignment="1" applyProtection="1">
      <alignment/>
      <protection/>
    </xf>
    <xf numFmtId="2" fontId="5" fillId="24" borderId="11" xfId="54" applyNumberFormat="1" applyFont="1" applyFill="1" applyBorder="1" applyAlignment="1" applyProtection="1">
      <alignment horizontal="center"/>
      <protection/>
    </xf>
    <xf numFmtId="43" fontId="5" fillId="24" borderId="11" xfId="54" applyFont="1" applyFill="1" applyBorder="1" applyAlignment="1" applyProtection="1">
      <alignment/>
      <protection/>
    </xf>
    <xf numFmtId="0" fontId="1" fillId="24" borderId="11" xfId="0" applyNumberFormat="1" applyFont="1" applyFill="1" applyBorder="1" applyAlignment="1" applyProtection="1">
      <alignment horizontal="center" vertical="top"/>
      <protection/>
    </xf>
    <xf numFmtId="2" fontId="1" fillId="24" borderId="11" xfId="0" applyNumberFormat="1" applyFont="1" applyFill="1" applyBorder="1" applyAlignment="1" applyProtection="1">
      <alignment/>
      <protection/>
    </xf>
    <xf numFmtId="43" fontId="1" fillId="24" borderId="11" xfId="54" applyFont="1" applyFill="1" applyBorder="1" applyAlignment="1" applyProtection="1">
      <alignment/>
      <protection/>
    </xf>
    <xf numFmtId="0" fontId="1" fillId="24" borderId="11" xfId="0" applyNumberFormat="1" applyFont="1" applyFill="1" applyBorder="1" applyAlignment="1" applyProtection="1">
      <alignment horizontal="center" vertical="top"/>
      <protection/>
    </xf>
    <xf numFmtId="2" fontId="1" fillId="24" borderId="11" xfId="0" applyNumberFormat="1" applyFont="1" applyFill="1" applyBorder="1" applyAlignment="1" applyProtection="1">
      <alignment/>
      <protection/>
    </xf>
    <xf numFmtId="2" fontId="1" fillId="24" borderId="11" xfId="0" applyNumberFormat="1" applyFont="1" applyFill="1" applyBorder="1" applyAlignment="1" applyProtection="1">
      <alignment horizontal="center"/>
      <protection/>
    </xf>
    <xf numFmtId="0" fontId="0" fillId="24" borderId="11" xfId="0" applyNumberFormat="1" applyFill="1" applyBorder="1" applyAlignment="1" applyProtection="1">
      <alignment horizontal="center" vertical="top"/>
      <protection/>
    </xf>
    <xf numFmtId="2" fontId="0" fillId="24" borderId="11" xfId="0" applyNumberFormat="1" applyFill="1" applyBorder="1" applyAlignment="1" applyProtection="1" quotePrefix="1">
      <alignment horizontal="left"/>
      <protection/>
    </xf>
    <xf numFmtId="2" fontId="0" fillId="24" borderId="11" xfId="0" applyNumberFormat="1" applyFill="1" applyBorder="1" applyAlignment="1" applyProtection="1">
      <alignment horizontal="center"/>
      <protection/>
    </xf>
    <xf numFmtId="2" fontId="0" fillId="24" borderId="11" xfId="0" applyNumberFormat="1" applyFill="1" applyBorder="1" applyAlignment="1" applyProtection="1">
      <alignment/>
      <protection/>
    </xf>
    <xf numFmtId="2" fontId="0" fillId="24" borderId="11" xfId="0" applyNumberFormat="1" applyFill="1" applyBorder="1" applyAlignment="1" applyProtection="1">
      <alignment wrapText="1"/>
      <protection/>
    </xf>
    <xf numFmtId="2" fontId="5" fillId="24" borderId="11" xfId="0" applyNumberFormat="1" applyFont="1" applyFill="1" applyBorder="1" applyAlignment="1" applyProtection="1">
      <alignment horizontal="center"/>
      <protection/>
    </xf>
    <xf numFmtId="43" fontId="0" fillId="24" borderId="11" xfId="54" applyFont="1" applyFill="1" applyBorder="1" applyAlignment="1" applyProtection="1">
      <alignment/>
      <protection/>
    </xf>
    <xf numFmtId="43" fontId="1" fillId="24" borderId="11" xfId="54" applyFont="1" applyFill="1" applyBorder="1" applyAlignment="1" applyProtection="1">
      <alignment/>
      <protection/>
    </xf>
    <xf numFmtId="0" fontId="0" fillId="24" borderId="11" xfId="0" applyNumberFormat="1" applyFont="1" applyFill="1" applyBorder="1" applyAlignment="1" applyProtection="1">
      <alignment horizontal="center" vertical="top"/>
      <protection/>
    </xf>
    <xf numFmtId="2" fontId="0" fillId="24" borderId="11" xfId="0" applyNumberFormat="1" applyFont="1" applyFill="1" applyBorder="1" applyAlignment="1" applyProtection="1">
      <alignment wrapText="1"/>
      <protection/>
    </xf>
    <xf numFmtId="2" fontId="0" fillId="24" borderId="11" xfId="0" applyNumberFormat="1" applyFont="1" applyFill="1" applyBorder="1" applyAlignment="1" applyProtection="1">
      <alignment horizontal="center"/>
      <protection/>
    </xf>
    <xf numFmtId="2" fontId="0" fillId="24" borderId="11" xfId="0" applyNumberFormat="1" applyFill="1" applyBorder="1" applyAlignment="1" applyProtection="1">
      <alignment horizontal="left" wrapText="1"/>
      <protection/>
    </xf>
    <xf numFmtId="2" fontId="0" fillId="24" borderId="11" xfId="0" applyNumberFormat="1" applyFill="1" applyBorder="1" applyAlignment="1" applyProtection="1">
      <alignment horizontal="left"/>
      <protection/>
    </xf>
    <xf numFmtId="2" fontId="1" fillId="24" borderId="11" xfId="54" applyNumberFormat="1" applyFont="1" applyFill="1" applyBorder="1" applyAlignment="1" applyProtection="1">
      <alignment horizontal="center"/>
      <protection/>
    </xf>
    <xf numFmtId="43" fontId="1" fillId="24" borderId="11" xfId="54" applyFont="1" applyFill="1" applyBorder="1" applyAlignment="1" applyProtection="1">
      <alignment/>
      <protection/>
    </xf>
    <xf numFmtId="43" fontId="5" fillId="24" borderId="11" xfId="54" applyFont="1" applyFill="1" applyBorder="1" applyAlignment="1" applyProtection="1">
      <alignment/>
      <protection/>
    </xf>
    <xf numFmtId="43" fontId="0" fillId="24" borderId="11" xfId="54" applyFont="1" applyFill="1" applyBorder="1" applyAlignment="1" applyProtection="1">
      <alignment/>
      <protection/>
    </xf>
    <xf numFmtId="2" fontId="0" fillId="24" borderId="11" xfId="0" applyNumberFormat="1" applyFont="1" applyFill="1" applyBorder="1" applyAlignment="1" applyProtection="1">
      <alignment vertical="top" wrapText="1"/>
      <protection/>
    </xf>
    <xf numFmtId="2" fontId="0" fillId="24" borderId="11" xfId="0" applyNumberFormat="1" applyFont="1" applyFill="1" applyBorder="1" applyAlignment="1" applyProtection="1" quotePrefix="1">
      <alignment vertical="top" wrapText="1"/>
      <protection/>
    </xf>
    <xf numFmtId="2" fontId="1" fillId="24" borderId="11" xfId="0" applyNumberFormat="1" applyFont="1" applyFill="1" applyBorder="1" applyAlignment="1" applyProtection="1">
      <alignment vertical="top" wrapText="1"/>
      <protection/>
    </xf>
    <xf numFmtId="2" fontId="5" fillId="24" borderId="11" xfId="0" applyNumberFormat="1" applyFont="1" applyFill="1" applyBorder="1" applyAlignment="1" applyProtection="1">
      <alignment vertical="top" wrapText="1"/>
      <protection/>
    </xf>
    <xf numFmtId="43" fontId="5" fillId="24" borderId="11" xfId="54" applyFont="1" applyFill="1" applyBorder="1" applyAlignment="1" applyProtection="1">
      <alignment horizontal="right"/>
      <protection/>
    </xf>
    <xf numFmtId="43" fontId="0" fillId="24" borderId="11" xfId="54" applyFont="1" applyFill="1" applyBorder="1" applyAlignment="1" applyProtection="1">
      <alignment horizontal="right"/>
      <protection/>
    </xf>
    <xf numFmtId="2" fontId="0" fillId="24" borderId="11" xfId="0" applyNumberFormat="1" applyFont="1" applyFill="1" applyBorder="1" applyAlignment="1" applyProtection="1">
      <alignment horizontal="left" wrapText="1"/>
      <protection/>
    </xf>
    <xf numFmtId="49" fontId="0" fillId="24" borderId="11" xfId="0" applyNumberFormat="1" applyFill="1" applyBorder="1" applyAlignment="1" applyProtection="1">
      <alignment/>
      <protection/>
    </xf>
    <xf numFmtId="49" fontId="0" fillId="24" borderId="11" xfId="0" applyNumberFormat="1" applyFill="1" applyBorder="1" applyAlignment="1" applyProtection="1">
      <alignment horizontal="center"/>
      <protection/>
    </xf>
    <xf numFmtId="2" fontId="1" fillId="24" borderId="11" xfId="0" applyNumberFormat="1" applyFont="1" applyFill="1" applyBorder="1" applyAlignment="1" applyProtection="1">
      <alignment horizontal="center"/>
      <protection/>
    </xf>
    <xf numFmtId="43" fontId="1" fillId="24" borderId="11" xfId="54" applyFont="1" applyFill="1" applyBorder="1" applyAlignment="1" applyProtection="1">
      <alignment horizontal="right"/>
      <protection/>
    </xf>
    <xf numFmtId="0" fontId="1" fillId="24" borderId="11" xfId="0" applyFont="1" applyFill="1" applyBorder="1" applyAlignment="1" applyProtection="1">
      <alignment vertical="top" wrapText="1"/>
      <protection/>
    </xf>
    <xf numFmtId="4" fontId="0" fillId="24" borderId="11" xfId="0" applyNumberFormat="1" applyFont="1" applyFill="1" applyBorder="1" applyAlignment="1" applyProtection="1">
      <alignment horizontal="center"/>
      <protection/>
    </xf>
    <xf numFmtId="4" fontId="0" fillId="24" borderId="11" xfId="0" applyNumberFormat="1" applyFont="1" applyFill="1" applyBorder="1" applyAlignment="1" applyProtection="1">
      <alignment vertical="top" wrapText="1"/>
      <protection/>
    </xf>
    <xf numFmtId="0" fontId="1" fillId="24" borderId="11" xfId="0" applyFont="1" applyFill="1" applyBorder="1" applyAlignment="1" applyProtection="1">
      <alignment vertical="top" shrinkToFit="1"/>
      <protection/>
    </xf>
    <xf numFmtId="0" fontId="0" fillId="24" borderId="11" xfId="0" applyNumberFormat="1" applyFill="1" applyBorder="1" applyAlignment="1" applyProtection="1">
      <alignment horizontal="center" vertical="top" shrinkToFit="1"/>
      <protection/>
    </xf>
    <xf numFmtId="2" fontId="0" fillId="24" borderId="11" xfId="0" applyNumberFormat="1" applyFill="1" applyBorder="1" applyAlignment="1" applyProtection="1">
      <alignment horizontal="center" shrinkToFit="1"/>
      <protection/>
    </xf>
    <xf numFmtId="43" fontId="0" fillId="24" borderId="11" xfId="54" applyFont="1" applyFill="1" applyBorder="1" applyAlignment="1" applyProtection="1">
      <alignment shrinkToFit="1"/>
      <protection/>
    </xf>
    <xf numFmtId="2" fontId="0" fillId="24" borderId="11" xfId="0" applyNumberFormat="1" applyFont="1" applyFill="1" applyBorder="1" applyAlignment="1" applyProtection="1">
      <alignment shrinkToFit="1"/>
      <protection/>
    </xf>
    <xf numFmtId="0" fontId="0" fillId="24" borderId="11" xfId="0" applyFont="1" applyFill="1" applyBorder="1" applyAlignment="1" applyProtection="1">
      <alignment wrapText="1" shrinkToFit="1"/>
      <protection/>
    </xf>
    <xf numFmtId="0" fontId="0" fillId="24" borderId="11" xfId="0" applyFont="1" applyFill="1" applyBorder="1" applyAlignment="1" applyProtection="1">
      <alignment horizontal="center" shrinkToFit="1"/>
      <protection/>
    </xf>
    <xf numFmtId="43" fontId="0" fillId="24" borderId="11" xfId="54" applyFont="1" applyFill="1" applyBorder="1" applyAlignment="1" applyProtection="1">
      <alignment shrinkToFit="1"/>
      <protection/>
    </xf>
    <xf numFmtId="2" fontId="0" fillId="24" borderId="11" xfId="0" applyNumberFormat="1" applyFont="1" applyFill="1" applyBorder="1" applyAlignment="1" applyProtection="1" quotePrefix="1">
      <alignment shrinkToFit="1"/>
      <protection/>
    </xf>
    <xf numFmtId="0" fontId="5" fillId="24" borderId="11" xfId="0" applyNumberFormat="1" applyFont="1" applyFill="1" applyBorder="1" applyAlignment="1" applyProtection="1">
      <alignment horizontal="center" vertical="top" shrinkToFit="1"/>
      <protection/>
    </xf>
    <xf numFmtId="2" fontId="5" fillId="24" borderId="11" xfId="0" applyNumberFormat="1" applyFont="1" applyFill="1" applyBorder="1" applyAlignment="1" applyProtection="1">
      <alignment vertical="top" shrinkToFit="1"/>
      <protection/>
    </xf>
    <xf numFmtId="2" fontId="5" fillId="24" borderId="11" xfId="0" applyNumberFormat="1" applyFont="1" applyFill="1" applyBorder="1" applyAlignment="1" applyProtection="1">
      <alignment horizontal="center" shrinkToFit="1"/>
      <protection/>
    </xf>
    <xf numFmtId="43" fontId="5" fillId="24" borderId="11" xfId="54" applyFont="1" applyFill="1" applyBorder="1" applyAlignment="1" applyProtection="1">
      <alignment horizontal="right" shrinkToFit="1"/>
      <protection/>
    </xf>
    <xf numFmtId="2" fontId="1" fillId="24" borderId="11" xfId="0" applyNumberFormat="1" applyFont="1" applyFill="1" applyBorder="1" applyAlignment="1" applyProtection="1">
      <alignment vertical="top" shrinkToFit="1"/>
      <protection/>
    </xf>
    <xf numFmtId="2" fontId="0" fillId="24" borderId="11" xfId="0" applyNumberFormat="1" applyFont="1" applyFill="1" applyBorder="1" applyAlignment="1" applyProtection="1">
      <alignment horizontal="center" shrinkToFit="1"/>
      <protection/>
    </xf>
    <xf numFmtId="43" fontId="0" fillId="24" borderId="11" xfId="54" applyFont="1" applyFill="1" applyBorder="1" applyAlignment="1" applyProtection="1">
      <alignment horizontal="right" shrinkToFit="1"/>
      <protection/>
    </xf>
    <xf numFmtId="0" fontId="1" fillId="24" borderId="11" xfId="0" applyFont="1" applyFill="1" applyBorder="1" applyAlignment="1" applyProtection="1">
      <alignment horizontal="right" vertical="top" shrinkToFit="1"/>
      <protection/>
    </xf>
    <xf numFmtId="0" fontId="1" fillId="24" borderId="11" xfId="0" applyFont="1" applyFill="1" applyBorder="1" applyAlignment="1" applyProtection="1">
      <alignment horizontal="left" shrinkToFit="1"/>
      <protection/>
    </xf>
    <xf numFmtId="43" fontId="0" fillId="24" borderId="11" xfId="54" applyFont="1" applyFill="1" applyBorder="1" applyAlignment="1" applyProtection="1">
      <alignment horizontal="right" shrinkToFit="1"/>
      <protection/>
    </xf>
    <xf numFmtId="0" fontId="0" fillId="24" borderId="11" xfId="0" applyFont="1" applyFill="1" applyBorder="1" applyAlignment="1" applyProtection="1">
      <alignment horizontal="right" vertical="top" shrinkToFit="1"/>
      <protection/>
    </xf>
    <xf numFmtId="0" fontId="0" fillId="24" borderId="11" xfId="0" applyFont="1" applyFill="1" applyBorder="1" applyAlignment="1" applyProtection="1">
      <alignment horizontal="left" shrinkToFit="1"/>
      <protection/>
    </xf>
    <xf numFmtId="0" fontId="5" fillId="24" borderId="11" xfId="0" applyFont="1" applyFill="1" applyBorder="1" applyAlignment="1" applyProtection="1">
      <alignment horizontal="left" shrinkToFit="1"/>
      <protection/>
    </xf>
    <xf numFmtId="0" fontId="5" fillId="24" borderId="11" xfId="0" applyFont="1" applyFill="1" applyBorder="1" applyAlignment="1" applyProtection="1">
      <alignment horizontal="right" vertical="top" shrinkToFit="1"/>
      <protection/>
    </xf>
    <xf numFmtId="0" fontId="5" fillId="24" borderId="11" xfId="0" applyFont="1" applyFill="1" applyBorder="1" applyAlignment="1" applyProtection="1">
      <alignment horizontal="center" shrinkToFit="1"/>
      <protection/>
    </xf>
    <xf numFmtId="0" fontId="1" fillId="24" borderId="11" xfId="0" applyNumberFormat="1" applyFont="1" applyFill="1" applyBorder="1" applyAlignment="1" applyProtection="1">
      <alignment horizontal="center" vertical="top" shrinkToFit="1"/>
      <protection/>
    </xf>
    <xf numFmtId="2" fontId="1" fillId="24" borderId="11" xfId="0" applyNumberFormat="1" applyFont="1" applyFill="1" applyBorder="1" applyAlignment="1" applyProtection="1">
      <alignment shrinkToFit="1"/>
      <protection/>
    </xf>
    <xf numFmtId="0" fontId="6" fillId="24" borderId="11" xfId="0" applyNumberFormat="1" applyFont="1" applyFill="1" applyBorder="1" applyAlignment="1" applyProtection="1">
      <alignment horizontal="center" vertical="top" shrinkToFit="1"/>
      <protection/>
    </xf>
    <xf numFmtId="2" fontId="7" fillId="24" borderId="11" xfId="0" applyNumberFormat="1" applyFont="1" applyFill="1" applyBorder="1" applyAlignment="1" applyProtection="1">
      <alignment shrinkToFit="1"/>
      <protection/>
    </xf>
    <xf numFmtId="2" fontId="6" fillId="24" borderId="11" xfId="0" applyNumberFormat="1" applyFont="1" applyFill="1" applyBorder="1" applyAlignment="1" applyProtection="1">
      <alignment horizontal="center" shrinkToFit="1"/>
      <protection/>
    </xf>
    <xf numFmtId="43" fontId="6" fillId="24" borderId="11" xfId="54" applyFont="1" applyFill="1" applyBorder="1" applyAlignment="1" applyProtection="1">
      <alignment horizontal="right" shrinkToFit="1"/>
      <protection/>
    </xf>
    <xf numFmtId="2" fontId="1" fillId="24" borderId="11" xfId="0" applyNumberFormat="1" applyFont="1" applyFill="1" applyBorder="1" applyAlignment="1" applyProtection="1">
      <alignment horizontal="center" shrinkToFit="1"/>
      <protection/>
    </xf>
    <xf numFmtId="43" fontId="1" fillId="24" borderId="11" xfId="54" applyFont="1" applyFill="1" applyBorder="1" applyAlignment="1" applyProtection="1">
      <alignment horizontal="right" shrinkToFit="1"/>
      <protection/>
    </xf>
    <xf numFmtId="0" fontId="0" fillId="24" borderId="11" xfId="0" applyNumberFormat="1" applyFont="1" applyFill="1" applyBorder="1" applyAlignment="1" applyProtection="1">
      <alignment horizontal="center" vertical="top" shrinkToFit="1"/>
      <protection/>
    </xf>
    <xf numFmtId="2" fontId="0" fillId="24" borderId="11" xfId="0" applyNumberFormat="1" applyFill="1" applyBorder="1" applyAlignment="1" applyProtection="1">
      <alignment shrinkToFit="1"/>
      <protection/>
    </xf>
    <xf numFmtId="2" fontId="5" fillId="24" borderId="11" xfId="0" applyNumberFormat="1" applyFont="1" applyFill="1" applyBorder="1" applyAlignment="1" applyProtection="1">
      <alignment shrinkToFit="1"/>
      <protection/>
    </xf>
    <xf numFmtId="2" fontId="5" fillId="24" borderId="11" xfId="54" applyNumberFormat="1" applyFont="1" applyFill="1" applyBorder="1" applyAlignment="1" applyProtection="1">
      <alignment horizontal="right" shrinkToFit="1"/>
      <protection/>
    </xf>
    <xf numFmtId="2" fontId="0" fillId="24" borderId="0" xfId="0" applyNumberFormat="1" applyFont="1" applyFill="1" applyBorder="1" applyAlignment="1" applyProtection="1">
      <alignment horizontal="right" vertical="top" shrinkToFit="1"/>
      <protection/>
    </xf>
    <xf numFmtId="0" fontId="0" fillId="24" borderId="11" xfId="0" applyFont="1" applyFill="1" applyBorder="1" applyAlignment="1" applyProtection="1" quotePrefix="1">
      <alignment horizontal="left" shrinkToFit="1"/>
      <protection/>
    </xf>
    <xf numFmtId="0" fontId="0" fillId="24" borderId="11" xfId="0" applyFont="1" applyFill="1" applyBorder="1" applyAlignment="1" applyProtection="1">
      <alignment wrapText="1" shrinkToFit="1"/>
      <protection/>
    </xf>
    <xf numFmtId="0" fontId="0" fillId="24" borderId="11" xfId="0" applyFont="1" applyFill="1" applyBorder="1" applyAlignment="1" applyProtection="1">
      <alignment vertical="center" shrinkToFit="1"/>
      <protection/>
    </xf>
    <xf numFmtId="2" fontId="0" fillId="24" borderId="11" xfId="0" applyNumberFormat="1" applyFont="1" applyFill="1" applyBorder="1" applyAlignment="1" applyProtection="1">
      <alignment vertical="top" shrinkToFit="1"/>
      <protection/>
    </xf>
    <xf numFmtId="2" fontId="0" fillId="24" borderId="11" xfId="0" applyNumberFormat="1" applyFont="1" applyFill="1" applyBorder="1" applyAlignment="1" applyProtection="1">
      <alignment wrapText="1" shrinkToFit="1"/>
      <protection/>
    </xf>
    <xf numFmtId="4" fontId="0" fillId="24" borderId="11" xfId="0" applyNumberFormat="1" applyFont="1" applyFill="1" applyBorder="1" applyAlignment="1" applyProtection="1">
      <alignment horizontal="center" shrinkToFit="1"/>
      <protection/>
    </xf>
    <xf numFmtId="43" fontId="0" fillId="24" borderId="11" xfId="54" applyFont="1" applyFill="1" applyBorder="1" applyAlignment="1" applyProtection="1">
      <alignment horizontal="center" shrinkToFit="1"/>
      <protection/>
    </xf>
    <xf numFmtId="0" fontId="0" fillId="24" borderId="11" xfId="0" applyNumberFormat="1" applyFont="1" applyFill="1" applyBorder="1" applyAlignment="1" applyProtection="1">
      <alignment horizontal="center" vertical="top" shrinkToFit="1"/>
      <protection/>
    </xf>
    <xf numFmtId="2" fontId="0" fillId="24" borderId="11" xfId="0" applyNumberFormat="1" applyFont="1" applyFill="1" applyBorder="1" applyAlignment="1" applyProtection="1" quotePrefix="1">
      <alignment shrinkToFit="1"/>
      <protection/>
    </xf>
    <xf numFmtId="2" fontId="0" fillId="24" borderId="11" xfId="0" applyNumberFormat="1" applyFont="1" applyFill="1" applyBorder="1" applyAlignment="1" applyProtection="1">
      <alignment horizontal="center" shrinkToFit="1"/>
      <protection/>
    </xf>
    <xf numFmtId="2" fontId="0" fillId="24" borderId="11" xfId="0" applyNumberFormat="1" applyFill="1" applyBorder="1" applyAlignment="1" applyProtection="1">
      <alignment wrapText="1" shrinkToFit="1"/>
      <protection/>
    </xf>
    <xf numFmtId="49" fontId="0" fillId="24" borderId="11" xfId="0" applyNumberFormat="1" applyFill="1" applyBorder="1" applyAlignment="1" applyProtection="1">
      <alignment wrapText="1"/>
      <protection/>
    </xf>
    <xf numFmtId="4" fontId="3" fillId="24" borderId="0" xfId="0" applyNumberFormat="1" applyFont="1" applyFill="1" applyAlignment="1" applyProtection="1">
      <alignment horizontal="center" vertical="top"/>
      <protection/>
    </xf>
    <xf numFmtId="4" fontId="5" fillId="24" borderId="12" xfId="0" applyNumberFormat="1" applyFont="1" applyFill="1" applyBorder="1" applyAlignment="1" applyProtection="1">
      <alignment horizontal="left" vertical="top"/>
      <protection/>
    </xf>
    <xf numFmtId="4" fontId="1" fillId="24" borderId="13" xfId="0" applyNumberFormat="1" applyFont="1" applyFill="1" applyBorder="1" applyAlignment="1" applyProtection="1">
      <alignment horizontal="left" vertical="top"/>
      <protection/>
    </xf>
    <xf numFmtId="4" fontId="0" fillId="24" borderId="13" xfId="0" applyNumberFormat="1" applyFont="1" applyFill="1" applyBorder="1" applyAlignment="1" applyProtection="1">
      <alignment horizontal="left" vertical="top"/>
      <protection/>
    </xf>
    <xf numFmtId="4" fontId="0" fillId="24" borderId="14" xfId="0" applyNumberFormat="1" applyFont="1" applyFill="1" applyBorder="1" applyAlignment="1" applyProtection="1">
      <alignment horizontal="left" vertical="top"/>
      <protection/>
    </xf>
    <xf numFmtId="4" fontId="0" fillId="24" borderId="12" xfId="0" applyNumberFormat="1" applyFont="1" applyFill="1" applyBorder="1" applyAlignment="1" applyProtection="1">
      <alignment horizontal="left" vertical="top"/>
      <protection/>
    </xf>
    <xf numFmtId="4" fontId="0" fillId="0" borderId="12" xfId="0" applyNumberFormat="1" applyFont="1" applyFill="1" applyBorder="1" applyAlignment="1" applyProtection="1">
      <alignment horizontal="right" vertical="top"/>
      <protection/>
    </xf>
    <xf numFmtId="165" fontId="0" fillId="24" borderId="13" xfId="0" applyNumberFormat="1" applyFont="1" applyFill="1" applyBorder="1" applyAlignment="1" applyProtection="1">
      <alignment horizontal="left" vertical="top"/>
      <protection/>
    </xf>
    <xf numFmtId="4" fontId="0" fillId="24" borderId="12" xfId="0" applyNumberFormat="1" applyFont="1" applyFill="1" applyBorder="1" applyAlignment="1" applyProtection="1">
      <alignment vertical="top"/>
      <protection/>
    </xf>
    <xf numFmtId="4" fontId="10" fillId="24" borderId="13" xfId="0" applyNumberFormat="1" applyFont="1" applyFill="1" applyBorder="1" applyAlignment="1" applyProtection="1">
      <alignment vertical="top"/>
      <protection/>
    </xf>
    <xf numFmtId="4" fontId="10" fillId="24" borderId="14" xfId="0" applyNumberFormat="1" applyFont="1" applyFill="1" applyBorder="1" applyAlignment="1" applyProtection="1">
      <alignment vertical="top"/>
      <protection/>
    </xf>
    <xf numFmtId="4" fontId="0" fillId="24" borderId="12" xfId="0" applyNumberFormat="1" applyFont="1" applyFill="1" applyBorder="1" applyAlignment="1" applyProtection="1">
      <alignment horizontal="center" vertical="top"/>
      <protection/>
    </xf>
    <xf numFmtId="4" fontId="0" fillId="24" borderId="14" xfId="0" applyNumberFormat="1" applyFont="1" applyFill="1" applyBorder="1" applyAlignment="1" applyProtection="1">
      <alignment horizontal="center" vertical="top"/>
      <protection/>
    </xf>
    <xf numFmtId="4" fontId="0" fillId="24" borderId="15" xfId="0" applyNumberFormat="1" applyFont="1" applyFill="1" applyBorder="1" applyAlignment="1" applyProtection="1">
      <alignment horizontal="center" vertical="top"/>
      <protection/>
    </xf>
    <xf numFmtId="4" fontId="3" fillId="24" borderId="0" xfId="0" applyNumberFormat="1" applyFont="1" applyFill="1" applyBorder="1" applyAlignment="1" applyProtection="1">
      <alignment horizontal="center" vertical="top"/>
      <protection/>
    </xf>
    <xf numFmtId="0" fontId="0" fillId="24" borderId="0" xfId="0" applyFill="1" applyAlignment="1" applyProtection="1">
      <alignment/>
      <protection/>
    </xf>
    <xf numFmtId="43" fontId="0" fillId="24" borderId="0" xfId="54" applyFont="1" applyFill="1" applyAlignment="1" applyProtection="1">
      <alignment/>
      <protection/>
    </xf>
    <xf numFmtId="43" fontId="13" fillId="24" borderId="11" xfId="54" applyFont="1" applyFill="1" applyBorder="1" applyAlignment="1" applyProtection="1">
      <alignment/>
      <protection/>
    </xf>
    <xf numFmtId="2" fontId="13" fillId="24" borderId="11" xfId="50" applyNumberFormat="1" applyFont="1" applyFill="1" applyBorder="1" applyProtection="1">
      <alignment/>
      <protection/>
    </xf>
    <xf numFmtId="0" fontId="0" fillId="24" borderId="13" xfId="0" applyFill="1" applyBorder="1" applyAlignment="1" applyProtection="1">
      <alignment/>
      <protection/>
    </xf>
    <xf numFmtId="0" fontId="0" fillId="24" borderId="14" xfId="0" applyFill="1" applyBorder="1" applyAlignment="1" applyProtection="1">
      <alignment/>
      <protection/>
    </xf>
    <xf numFmtId="4" fontId="4" fillId="24" borderId="16" xfId="0" applyNumberFormat="1" applyFont="1" applyFill="1" applyBorder="1" applyAlignment="1" applyProtection="1">
      <alignment horizontal="center" vertical="top"/>
      <protection/>
    </xf>
    <xf numFmtId="166" fontId="13" fillId="24" borderId="11" xfId="54" applyNumberFormat="1" applyFont="1" applyFill="1" applyBorder="1" applyAlignment="1" applyProtection="1">
      <alignment/>
      <protection/>
    </xf>
    <xf numFmtId="173" fontId="13" fillId="24" borderId="11" xfId="50" applyNumberFormat="1" applyFont="1" applyFill="1" applyBorder="1" applyProtection="1">
      <alignment/>
      <protection/>
    </xf>
    <xf numFmtId="173" fontId="13" fillId="24" borderId="11" xfId="54" applyNumberFormat="1" applyFont="1" applyFill="1" applyBorder="1" applyAlignment="1" applyProtection="1">
      <alignment/>
      <protection/>
    </xf>
    <xf numFmtId="43" fontId="13" fillId="24" borderId="17" xfId="54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4" fontId="4" fillId="24" borderId="18" xfId="0" applyNumberFormat="1" applyFont="1" applyFill="1" applyBorder="1" applyAlignment="1" applyProtection="1">
      <alignment vertical="top"/>
      <protection/>
    </xf>
    <xf numFmtId="4" fontId="4" fillId="24" borderId="19" xfId="0" applyNumberFormat="1" applyFont="1" applyFill="1" applyBorder="1" applyAlignment="1" applyProtection="1">
      <alignment vertical="top"/>
      <protection/>
    </xf>
    <xf numFmtId="4" fontId="4" fillId="24" borderId="20" xfId="0" applyNumberFormat="1" applyFont="1" applyFill="1" applyBorder="1" applyAlignment="1" applyProtection="1">
      <alignment vertical="top"/>
      <protection/>
    </xf>
    <xf numFmtId="169" fontId="4" fillId="24" borderId="14" xfId="0" applyNumberFormat="1" applyFont="1" applyFill="1" applyBorder="1" applyAlignment="1" applyProtection="1">
      <alignment horizontal="left" vertical="top"/>
      <protection/>
    </xf>
    <xf numFmtId="4" fontId="4" fillId="24" borderId="21" xfId="0" applyNumberFormat="1" applyFont="1" applyFill="1" applyBorder="1" applyAlignment="1" applyProtection="1">
      <alignment vertical="top"/>
      <protection/>
    </xf>
    <xf numFmtId="4" fontId="4" fillId="24" borderId="22" xfId="0" applyNumberFormat="1" applyFont="1" applyFill="1" applyBorder="1" applyAlignment="1" applyProtection="1">
      <alignment vertical="top"/>
      <protection/>
    </xf>
    <xf numFmtId="4" fontId="4" fillId="24" borderId="12" xfId="0" applyNumberFormat="1" applyFont="1" applyFill="1" applyBorder="1" applyAlignment="1" applyProtection="1">
      <alignment horizontal="right"/>
      <protection/>
    </xf>
    <xf numFmtId="0" fontId="4" fillId="24" borderId="12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23" xfId="0" applyFill="1" applyBorder="1" applyAlignment="1" applyProtection="1">
      <alignment/>
      <protection/>
    </xf>
    <xf numFmtId="0" fontId="0" fillId="24" borderId="24" xfId="0" applyFill="1" applyBorder="1" applyAlignment="1" applyProtection="1">
      <alignment/>
      <protection/>
    </xf>
    <xf numFmtId="0" fontId="0" fillId="24" borderId="25" xfId="0" applyFill="1" applyBorder="1" applyAlignment="1" applyProtection="1">
      <alignment/>
      <protection/>
    </xf>
    <xf numFmtId="0" fontId="0" fillId="24" borderId="26" xfId="0" applyFill="1" applyBorder="1" applyAlignment="1" applyProtection="1">
      <alignment/>
      <protection/>
    </xf>
    <xf numFmtId="0" fontId="0" fillId="24" borderId="27" xfId="0" applyFill="1" applyBorder="1" applyAlignment="1" applyProtection="1">
      <alignment/>
      <protection/>
    </xf>
    <xf numFmtId="10" fontId="0" fillId="24" borderId="28" xfId="52" applyNumberFormat="1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/>
      <protection/>
    </xf>
    <xf numFmtId="166" fontId="12" fillId="24" borderId="11" xfId="54" applyNumberFormat="1" applyFont="1" applyFill="1" applyBorder="1" applyAlignment="1" applyProtection="1">
      <alignment/>
      <protection/>
    </xf>
    <xf numFmtId="10" fontId="0" fillId="24" borderId="0" xfId="52" applyNumberFormat="1" applyFont="1" applyFill="1" applyBorder="1" applyAlignment="1" applyProtection="1">
      <alignment/>
      <protection/>
    </xf>
    <xf numFmtId="0" fontId="0" fillId="24" borderId="26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center"/>
      <protection/>
    </xf>
    <xf numFmtId="10" fontId="0" fillId="24" borderId="0" xfId="0" applyNumberFormat="1" applyFill="1" applyBorder="1" applyAlignment="1" applyProtection="1">
      <alignment/>
      <protection/>
    </xf>
    <xf numFmtId="0" fontId="5" fillId="24" borderId="0" xfId="0" applyFont="1" applyFill="1" applyBorder="1" applyAlignment="1" applyProtection="1">
      <alignment/>
      <protection/>
    </xf>
    <xf numFmtId="10" fontId="5" fillId="24" borderId="0" xfId="52" applyNumberFormat="1" applyFont="1" applyFill="1" applyBorder="1" applyAlignment="1" applyProtection="1">
      <alignment/>
      <protection/>
    </xf>
    <xf numFmtId="0" fontId="0" fillId="24" borderId="29" xfId="0" applyFill="1" applyBorder="1" applyAlignment="1" applyProtection="1">
      <alignment/>
      <protection/>
    </xf>
    <xf numFmtId="0" fontId="0" fillId="24" borderId="30" xfId="0" applyFill="1" applyBorder="1" applyAlignment="1" applyProtection="1">
      <alignment/>
      <protection/>
    </xf>
    <xf numFmtId="0" fontId="0" fillId="24" borderId="31" xfId="0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left"/>
      <protection/>
    </xf>
    <xf numFmtId="0" fontId="4" fillId="24" borderId="15" xfId="0" applyFont="1" applyFill="1" applyBorder="1" applyAlignment="1" applyProtection="1">
      <alignment horizontal="right"/>
      <protection/>
    </xf>
    <xf numFmtId="10" fontId="4" fillId="24" borderId="19" xfId="52" applyNumberFormat="1" applyFont="1" applyFill="1" applyBorder="1" applyAlignment="1" applyProtection="1">
      <alignment horizontal="center"/>
      <protection/>
    </xf>
    <xf numFmtId="0" fontId="0" fillId="24" borderId="19" xfId="0" applyFill="1" applyBorder="1" applyAlignment="1" applyProtection="1">
      <alignment/>
      <protection/>
    </xf>
    <xf numFmtId="0" fontId="0" fillId="24" borderId="19" xfId="0" applyFill="1" applyBorder="1" applyAlignment="1" applyProtection="1">
      <alignment horizontal="right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right"/>
      <protection/>
    </xf>
    <xf numFmtId="0" fontId="0" fillId="24" borderId="11" xfId="0" applyFill="1" applyBorder="1" applyAlignment="1" applyProtection="1">
      <alignment/>
      <protection/>
    </xf>
    <xf numFmtId="43" fontId="0" fillId="24" borderId="10" xfId="54" applyFill="1" applyBorder="1" applyAlignment="1" applyProtection="1">
      <alignment/>
      <protection/>
    </xf>
    <xf numFmtId="43" fontId="0" fillId="24" borderId="10" xfId="0" applyNumberFormat="1" applyFill="1" applyBorder="1" applyAlignment="1" applyProtection="1">
      <alignment/>
      <protection/>
    </xf>
    <xf numFmtId="43" fontId="0" fillId="24" borderId="11" xfId="0" applyNumberFormat="1" applyFill="1" applyBorder="1" applyAlignment="1" applyProtection="1">
      <alignment/>
      <protection/>
    </xf>
    <xf numFmtId="43" fontId="0" fillId="24" borderId="11" xfId="54" applyFill="1" applyBorder="1" applyAlignment="1" applyProtection="1">
      <alignment/>
      <protection/>
    </xf>
    <xf numFmtId="43" fontId="0" fillId="24" borderId="12" xfId="54" applyFill="1" applyBorder="1" applyAlignment="1" applyProtection="1">
      <alignment/>
      <protection/>
    </xf>
    <xf numFmtId="43" fontId="0" fillId="24" borderId="0" xfId="0" applyNumberFormat="1" applyFill="1" applyAlignment="1" applyProtection="1">
      <alignment/>
      <protection/>
    </xf>
    <xf numFmtId="0" fontId="5" fillId="24" borderId="11" xfId="0" applyFont="1" applyFill="1" applyBorder="1" applyAlignment="1" applyProtection="1">
      <alignment/>
      <protection/>
    </xf>
    <xf numFmtId="43" fontId="1" fillId="24" borderId="11" xfId="0" applyNumberFormat="1" applyFont="1" applyFill="1" applyBorder="1" applyAlignment="1" applyProtection="1">
      <alignment/>
      <protection/>
    </xf>
    <xf numFmtId="43" fontId="5" fillId="24" borderId="0" xfId="0" applyNumberFormat="1" applyFont="1" applyFill="1" applyAlignment="1" applyProtection="1">
      <alignment/>
      <protection/>
    </xf>
    <xf numFmtId="0" fontId="5" fillId="24" borderId="0" xfId="0" applyFont="1" applyFill="1" applyAlignment="1" applyProtection="1">
      <alignment/>
      <protection/>
    </xf>
    <xf numFmtId="0" fontId="0" fillId="24" borderId="0" xfId="0" applyFill="1" applyBorder="1" applyAlignment="1" applyProtection="1">
      <alignment horizontal="left" wrapText="1"/>
      <protection/>
    </xf>
    <xf numFmtId="0" fontId="4" fillId="24" borderId="11" xfId="0" applyFont="1" applyFill="1" applyBorder="1" applyAlignment="1" applyProtection="1">
      <alignment/>
      <protection/>
    </xf>
    <xf numFmtId="0" fontId="0" fillId="24" borderId="32" xfId="0" applyFill="1" applyBorder="1" applyAlignment="1" applyProtection="1">
      <alignment/>
      <protection/>
    </xf>
    <xf numFmtId="43" fontId="0" fillId="24" borderId="32" xfId="0" applyNumberFormat="1" applyFill="1" applyBorder="1" applyAlignment="1" applyProtection="1">
      <alignment/>
      <protection/>
    </xf>
    <xf numFmtId="0" fontId="0" fillId="24" borderId="11" xfId="0" applyFill="1" applyBorder="1" applyAlignment="1" applyProtection="1">
      <alignment shrinkToFit="1"/>
      <protection/>
    </xf>
    <xf numFmtId="0" fontId="0" fillId="24" borderId="0" xfId="0" applyFill="1" applyAlignment="1" applyProtection="1">
      <alignment shrinkToFit="1"/>
      <protection/>
    </xf>
    <xf numFmtId="43" fontId="0" fillId="24" borderId="0" xfId="0" applyNumberFormat="1" applyFill="1" applyAlignment="1" applyProtection="1">
      <alignment shrinkToFit="1"/>
      <protection/>
    </xf>
    <xf numFmtId="0" fontId="0" fillId="24" borderId="11" xfId="0" applyFont="1" applyFill="1" applyBorder="1" applyAlignment="1" applyProtection="1">
      <alignment shrinkToFit="1"/>
      <protection/>
    </xf>
    <xf numFmtId="43" fontId="0" fillId="24" borderId="11" xfId="0" applyNumberFormat="1" applyFont="1" applyFill="1" applyBorder="1" applyAlignment="1" applyProtection="1">
      <alignment/>
      <protection/>
    </xf>
    <xf numFmtId="0" fontId="5" fillId="24" borderId="11" xfId="0" applyFont="1" applyFill="1" applyBorder="1" applyAlignment="1" applyProtection="1">
      <alignment shrinkToFit="1"/>
      <protection/>
    </xf>
    <xf numFmtId="0" fontId="5" fillId="24" borderId="0" xfId="0" applyFont="1" applyFill="1" applyAlignment="1" applyProtection="1">
      <alignment shrinkToFit="1"/>
      <protection/>
    </xf>
    <xf numFmtId="43" fontId="5" fillId="24" borderId="0" xfId="0" applyNumberFormat="1" applyFont="1" applyFill="1" applyAlignment="1" applyProtection="1">
      <alignment shrinkToFit="1"/>
      <protection/>
    </xf>
    <xf numFmtId="43" fontId="1" fillId="24" borderId="0" xfId="0" applyNumberFormat="1" applyFont="1" applyFill="1" applyBorder="1" applyAlignment="1" applyProtection="1">
      <alignment/>
      <protection/>
    </xf>
    <xf numFmtId="43" fontId="0" fillId="24" borderId="32" xfId="0" applyNumberFormat="1" applyFill="1" applyBorder="1" applyAlignment="1" applyProtection="1">
      <alignment shrinkToFit="1"/>
      <protection/>
    </xf>
    <xf numFmtId="0" fontId="5" fillId="24" borderId="0" xfId="0" applyFont="1" applyFill="1" applyBorder="1" applyAlignment="1" applyProtection="1">
      <alignment horizontal="center"/>
      <protection/>
    </xf>
    <xf numFmtId="43" fontId="1" fillId="24" borderId="0" xfId="54" applyFont="1" applyFill="1" applyBorder="1" applyAlignment="1" applyProtection="1">
      <alignment horizontal="right" vertical="top" shrinkToFit="1"/>
      <protection/>
    </xf>
    <xf numFmtId="43" fontId="0" fillId="24" borderId="0" xfId="0" applyNumberFormat="1" applyFill="1" applyBorder="1" applyAlignment="1" applyProtection="1">
      <alignment/>
      <protection/>
    </xf>
    <xf numFmtId="43" fontId="0" fillId="24" borderId="0" xfId="54" applyFont="1" applyFill="1" applyBorder="1" applyAlignment="1" applyProtection="1">
      <alignment horizontal="left"/>
      <protection/>
    </xf>
    <xf numFmtId="2" fontId="13" fillId="24" borderId="0" xfId="50" applyNumberFormat="1" applyFont="1" applyFill="1" applyBorder="1" applyProtection="1">
      <alignment/>
      <protection/>
    </xf>
    <xf numFmtId="2" fontId="13" fillId="24" borderId="0" xfId="50" applyNumberFormat="1" applyFill="1" applyProtection="1">
      <alignment/>
      <protection/>
    </xf>
    <xf numFmtId="2" fontId="1" fillId="24" borderId="24" xfId="50" applyNumberFormat="1" applyFont="1" applyFill="1" applyBorder="1" applyAlignment="1" applyProtection="1">
      <alignment horizontal="center"/>
      <protection/>
    </xf>
    <xf numFmtId="2" fontId="0" fillId="24" borderId="0" xfId="50" applyNumberFormat="1" applyFont="1" applyFill="1" applyProtection="1">
      <alignment/>
      <protection/>
    </xf>
    <xf numFmtId="2" fontId="1" fillId="24" borderId="32" xfId="50" applyNumberFormat="1" applyFont="1" applyFill="1" applyBorder="1" applyAlignment="1" applyProtection="1">
      <alignment horizontal="centerContinuous"/>
      <protection/>
    </xf>
    <xf numFmtId="2" fontId="1" fillId="24" borderId="33" xfId="50" applyNumberFormat="1" applyFont="1" applyFill="1" applyBorder="1" applyAlignment="1" applyProtection="1">
      <alignment horizontal="centerContinuous"/>
      <protection/>
    </xf>
    <xf numFmtId="2" fontId="1" fillId="24" borderId="0" xfId="50" applyNumberFormat="1" applyFont="1" applyFill="1" applyBorder="1" applyAlignment="1" applyProtection="1">
      <alignment horizontal="center"/>
      <protection/>
    </xf>
    <xf numFmtId="2" fontId="1" fillId="24" borderId="14" xfId="50" applyNumberFormat="1" applyFont="1" applyFill="1" applyBorder="1" applyAlignment="1" applyProtection="1">
      <alignment horizontal="centerContinuous"/>
      <protection/>
    </xf>
    <xf numFmtId="2" fontId="1" fillId="24" borderId="11" xfId="50" applyNumberFormat="1" applyFont="1" applyFill="1" applyBorder="1" applyAlignment="1" applyProtection="1">
      <alignment horizontal="centerContinuous"/>
      <protection/>
    </xf>
    <xf numFmtId="2" fontId="1" fillId="24" borderId="17" xfId="50" applyNumberFormat="1" applyFont="1" applyFill="1" applyBorder="1" applyAlignment="1" applyProtection="1">
      <alignment horizontal="centerContinuous"/>
      <protection/>
    </xf>
    <xf numFmtId="2" fontId="1" fillId="24" borderId="15" xfId="50" applyNumberFormat="1" applyFont="1" applyFill="1" applyBorder="1" applyAlignment="1" applyProtection="1">
      <alignment horizontal="centerContinuous"/>
      <protection/>
    </xf>
    <xf numFmtId="0" fontId="0" fillId="24" borderId="26" xfId="0" applyFill="1" applyBorder="1" applyAlignment="1" applyProtection="1">
      <alignment horizontal="left" wrapText="1"/>
      <protection/>
    </xf>
    <xf numFmtId="2" fontId="1" fillId="24" borderId="20" xfId="50" applyNumberFormat="1" applyFont="1" applyFill="1" applyBorder="1" applyAlignment="1" applyProtection="1">
      <alignment horizontal="centerContinuous"/>
      <protection/>
    </xf>
    <xf numFmtId="2" fontId="1" fillId="24" borderId="19" xfId="50" applyNumberFormat="1" applyFont="1" applyFill="1" applyBorder="1" applyAlignment="1" applyProtection="1">
      <alignment horizontal="center"/>
      <protection/>
    </xf>
    <xf numFmtId="2" fontId="1" fillId="24" borderId="15" xfId="50" applyNumberFormat="1" applyFont="1" applyFill="1" applyBorder="1" applyAlignment="1" applyProtection="1">
      <alignment horizontal="center"/>
      <protection/>
    </xf>
    <xf numFmtId="2" fontId="1" fillId="24" borderId="10" xfId="50" applyNumberFormat="1" applyFont="1" applyFill="1" applyBorder="1" applyAlignment="1" applyProtection="1">
      <alignment horizontal="center"/>
      <protection/>
    </xf>
    <xf numFmtId="43" fontId="14" fillId="24" borderId="10" xfId="54" applyFont="1" applyFill="1" applyBorder="1" applyAlignment="1" applyProtection="1">
      <alignment horizontal="left" vertical="center"/>
      <protection/>
    </xf>
    <xf numFmtId="2" fontId="0" fillId="24" borderId="11" xfId="50" applyNumberFormat="1" applyFont="1" applyFill="1" applyBorder="1" applyAlignment="1" applyProtection="1">
      <alignment horizontal="center"/>
      <protection/>
    </xf>
    <xf numFmtId="43" fontId="14" fillId="24" borderId="11" xfId="54" applyFont="1" applyFill="1" applyBorder="1" applyAlignment="1" applyProtection="1">
      <alignment horizontal="left" vertical="center"/>
      <protection/>
    </xf>
    <xf numFmtId="173" fontId="1" fillId="24" borderId="11" xfId="50" applyNumberFormat="1" applyFont="1" applyFill="1" applyBorder="1" applyAlignment="1" applyProtection="1">
      <alignment horizontal="centerContinuous"/>
      <protection/>
    </xf>
    <xf numFmtId="171" fontId="0" fillId="24" borderId="11" xfId="50" applyNumberFormat="1" applyFont="1" applyFill="1" applyBorder="1" applyAlignment="1" applyProtection="1">
      <alignment horizontal="right"/>
      <protection/>
    </xf>
    <xf numFmtId="2" fontId="0" fillId="24" borderId="11" xfId="50" applyNumberFormat="1" applyFont="1" applyFill="1" applyBorder="1" applyProtection="1">
      <alignment/>
      <protection/>
    </xf>
    <xf numFmtId="2" fontId="0" fillId="24" borderId="17" xfId="50" applyNumberFormat="1" applyFont="1" applyFill="1" applyBorder="1" applyProtection="1">
      <alignment/>
      <protection/>
    </xf>
    <xf numFmtId="4" fontId="1" fillId="24" borderId="11" xfId="50" applyNumberFormat="1" applyFont="1" applyFill="1" applyBorder="1" applyProtection="1">
      <alignment/>
      <protection/>
    </xf>
    <xf numFmtId="2" fontId="1" fillId="24" borderId="11" xfId="50" applyNumberFormat="1" applyFont="1" applyFill="1" applyBorder="1" applyAlignment="1" applyProtection="1">
      <alignment horizontal="center"/>
      <protection/>
    </xf>
    <xf numFmtId="10" fontId="1" fillId="24" borderId="11" xfId="52" applyNumberFormat="1" applyFont="1" applyFill="1" applyBorder="1" applyAlignment="1" applyProtection="1">
      <alignment horizontal="centerContinuous"/>
      <protection/>
    </xf>
    <xf numFmtId="10" fontId="1" fillId="24" borderId="11" xfId="52" applyNumberFormat="1" applyFont="1" applyFill="1" applyBorder="1" applyAlignment="1" applyProtection="1">
      <alignment/>
      <protection/>
    </xf>
    <xf numFmtId="43" fontId="0" fillId="24" borderId="11" xfId="54" applyFont="1" applyFill="1" applyBorder="1" applyAlignment="1" applyProtection="1">
      <alignment horizontal="centerContinuous"/>
      <protection/>
    </xf>
    <xf numFmtId="9" fontId="1" fillId="24" borderId="11" xfId="52" applyFont="1" applyFill="1" applyBorder="1" applyAlignment="1" applyProtection="1">
      <alignment/>
      <protection/>
    </xf>
    <xf numFmtId="10" fontId="1" fillId="24" borderId="17" xfId="52" applyNumberFormat="1" applyFont="1" applyFill="1" applyBorder="1" applyAlignment="1" applyProtection="1">
      <alignment/>
      <protection/>
    </xf>
    <xf numFmtId="43" fontId="1" fillId="24" borderId="34" xfId="54" applyFont="1" applyFill="1" applyBorder="1" applyAlignment="1" applyProtection="1">
      <alignment vertical="center"/>
      <protection/>
    </xf>
    <xf numFmtId="2" fontId="0" fillId="24" borderId="34" xfId="50" applyNumberFormat="1" applyFont="1" applyFill="1" applyBorder="1" applyAlignment="1" applyProtection="1">
      <alignment horizontal="center" vertical="center"/>
      <protection/>
    </xf>
    <xf numFmtId="4" fontId="1" fillId="24" borderId="34" xfId="50" applyNumberFormat="1" applyFont="1" applyFill="1" applyBorder="1" applyAlignment="1" applyProtection="1">
      <alignment horizontal="center" vertical="center"/>
      <protection/>
    </xf>
    <xf numFmtId="4" fontId="1" fillId="24" borderId="35" xfId="50" applyNumberFormat="1" applyFont="1" applyFill="1" applyBorder="1" applyAlignment="1" applyProtection="1">
      <alignment horizontal="center" vertical="center"/>
      <protection/>
    </xf>
    <xf numFmtId="2" fontId="13" fillId="24" borderId="0" xfId="50" applyNumberFormat="1" applyFont="1" applyFill="1" applyProtection="1">
      <alignment/>
      <protection/>
    </xf>
    <xf numFmtId="2" fontId="13" fillId="24" borderId="0" xfId="50" applyNumberFormat="1" applyFont="1" applyFill="1" applyAlignment="1" applyProtection="1">
      <alignment horizontal="center"/>
      <protection/>
    </xf>
    <xf numFmtId="2" fontId="13" fillId="24" borderId="0" xfId="50" applyNumberFormat="1" applyFill="1" applyAlignment="1" applyProtection="1">
      <alignment horizontal="center"/>
      <protection/>
    </xf>
    <xf numFmtId="4" fontId="0" fillId="24" borderId="13" xfId="0" applyNumberFormat="1" applyFont="1" applyFill="1" applyBorder="1" applyAlignment="1" applyProtection="1">
      <alignment horizontal="left" vertical="top"/>
      <protection/>
    </xf>
    <xf numFmtId="4" fontId="0" fillId="24" borderId="14" xfId="0" applyNumberFormat="1" applyFont="1" applyFill="1" applyBorder="1" applyAlignment="1" applyProtection="1">
      <alignment horizontal="left" vertical="top"/>
      <protection/>
    </xf>
    <xf numFmtId="4" fontId="0" fillId="24" borderId="12" xfId="0" applyNumberFormat="1" applyFont="1" applyFill="1" applyBorder="1" applyAlignment="1" applyProtection="1">
      <alignment horizontal="left" vertical="top"/>
      <protection/>
    </xf>
    <xf numFmtId="4" fontId="2" fillId="24" borderId="12" xfId="0" applyNumberFormat="1" applyFont="1" applyFill="1" applyBorder="1" applyAlignment="1" applyProtection="1">
      <alignment horizontal="center" vertical="top"/>
      <protection/>
    </xf>
    <xf numFmtId="4" fontId="2" fillId="24" borderId="13" xfId="0" applyNumberFormat="1" applyFont="1" applyFill="1" applyBorder="1" applyAlignment="1" applyProtection="1">
      <alignment horizontal="center" vertical="top"/>
      <protection/>
    </xf>
    <xf numFmtId="4" fontId="2" fillId="24" borderId="14" xfId="0" applyNumberFormat="1" applyFont="1" applyFill="1" applyBorder="1" applyAlignment="1" applyProtection="1">
      <alignment horizontal="center" vertical="top"/>
      <protection/>
    </xf>
    <xf numFmtId="4" fontId="3" fillId="24" borderId="13" xfId="0" applyNumberFormat="1" applyFont="1" applyFill="1" applyBorder="1" applyAlignment="1" applyProtection="1">
      <alignment horizontal="center" vertical="top"/>
      <protection/>
    </xf>
    <xf numFmtId="4" fontId="5" fillId="24" borderId="12" xfId="0" applyNumberFormat="1" applyFont="1" applyFill="1" applyBorder="1" applyAlignment="1" applyProtection="1">
      <alignment horizontal="center" vertical="top"/>
      <protection/>
    </xf>
    <xf numFmtId="4" fontId="5" fillId="24" borderId="13" xfId="0" applyNumberFormat="1" applyFont="1" applyFill="1" applyBorder="1" applyAlignment="1" applyProtection="1">
      <alignment horizontal="center" vertical="top"/>
      <protection/>
    </xf>
    <xf numFmtId="4" fontId="5" fillId="24" borderId="14" xfId="0" applyNumberFormat="1" applyFont="1" applyFill="1" applyBorder="1" applyAlignment="1" applyProtection="1">
      <alignment horizontal="center" vertical="top"/>
      <protection/>
    </xf>
    <xf numFmtId="0" fontId="2" fillId="24" borderId="0" xfId="0" applyFont="1" applyFill="1" applyAlignment="1" applyProtection="1">
      <alignment horizontal="center"/>
      <protection/>
    </xf>
    <xf numFmtId="4" fontId="3" fillId="24" borderId="0" xfId="0" applyNumberFormat="1" applyFont="1" applyFill="1" applyAlignment="1" applyProtection="1">
      <alignment horizontal="center" vertical="top"/>
      <protection/>
    </xf>
    <xf numFmtId="4" fontId="3" fillId="24" borderId="19" xfId="0" applyNumberFormat="1" applyFont="1" applyFill="1" applyBorder="1" applyAlignment="1" applyProtection="1">
      <alignment horizontal="center" vertical="top"/>
      <protection/>
    </xf>
    <xf numFmtId="0" fontId="0" fillId="24" borderId="27" xfId="0" applyFill="1" applyBorder="1" applyAlignment="1" applyProtection="1">
      <alignment horizontal="left" wrapText="1"/>
      <protection/>
    </xf>
    <xf numFmtId="0" fontId="1" fillId="24" borderId="36" xfId="0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0" fontId="5" fillId="24" borderId="12" xfId="0" applyNumberFormat="1" applyFont="1" applyFill="1" applyBorder="1" applyAlignment="1" applyProtection="1">
      <alignment horizontal="center" vertical="top" shrinkToFit="1"/>
      <protection/>
    </xf>
    <xf numFmtId="0" fontId="5" fillId="24" borderId="13" xfId="0" applyNumberFormat="1" applyFont="1" applyFill="1" applyBorder="1" applyAlignment="1" applyProtection="1">
      <alignment horizontal="center" vertical="top" shrinkToFit="1"/>
      <protection/>
    </xf>
    <xf numFmtId="0" fontId="5" fillId="24" borderId="14" xfId="0" applyNumberFormat="1" applyFont="1" applyFill="1" applyBorder="1" applyAlignment="1" applyProtection="1">
      <alignment horizontal="center" vertical="top" shrinkToFit="1"/>
      <protection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24" borderId="12" xfId="0" applyFont="1" applyFill="1" applyBorder="1" applyAlignment="1" applyProtection="1">
      <alignment horizontal="center"/>
      <protection/>
    </xf>
    <xf numFmtId="0" fontId="4" fillId="24" borderId="13" xfId="0" applyFont="1" applyFill="1" applyBorder="1" applyAlignment="1" applyProtection="1">
      <alignment horizontal="center"/>
      <protection/>
    </xf>
    <xf numFmtId="0" fontId="4" fillId="24" borderId="14" xfId="0" applyFont="1" applyFill="1" applyBorder="1" applyAlignment="1" applyProtection="1">
      <alignment horizontal="center"/>
      <protection/>
    </xf>
    <xf numFmtId="10" fontId="4" fillId="24" borderId="12" xfId="52" applyNumberFormat="1" applyFont="1" applyFill="1" applyBorder="1" applyAlignment="1" applyProtection="1">
      <alignment horizontal="center"/>
      <protection/>
    </xf>
    <xf numFmtId="10" fontId="4" fillId="24" borderId="14" xfId="52" applyNumberFormat="1" applyFont="1" applyFill="1" applyBorder="1" applyAlignment="1" applyProtection="1">
      <alignment horizontal="center"/>
      <protection/>
    </xf>
    <xf numFmtId="0" fontId="4" fillId="24" borderId="12" xfId="0" applyFont="1" applyFill="1" applyBorder="1" applyAlignment="1" applyProtection="1">
      <alignment horizontal="left"/>
      <protection/>
    </xf>
    <xf numFmtId="0" fontId="4" fillId="24" borderId="13" xfId="0" applyFont="1" applyFill="1" applyBorder="1" applyAlignment="1" applyProtection="1">
      <alignment horizontal="left"/>
      <protection/>
    </xf>
    <xf numFmtId="0" fontId="4" fillId="24" borderId="14" xfId="0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1" fillId="24" borderId="11" xfId="0" applyNumberFormat="1" applyFont="1" applyFill="1" applyBorder="1" applyAlignment="1" applyProtection="1">
      <alignment horizontal="center" vertical="center"/>
      <protection/>
    </xf>
    <xf numFmtId="0" fontId="1" fillId="24" borderId="10" xfId="0" applyFont="1" applyFill="1" applyBorder="1" applyAlignment="1" applyProtection="1">
      <alignment horizontal="center" vertical="center"/>
      <protection/>
    </xf>
    <xf numFmtId="0" fontId="1" fillId="24" borderId="11" xfId="0" applyFont="1" applyFill="1" applyBorder="1" applyAlignment="1" applyProtection="1">
      <alignment horizontal="center" vertical="center"/>
      <protection/>
    </xf>
    <xf numFmtId="0" fontId="4" fillId="24" borderId="15" xfId="0" applyFont="1" applyFill="1" applyBorder="1" applyAlignment="1" applyProtection="1">
      <alignment horizontal="left"/>
      <protection/>
    </xf>
    <xf numFmtId="0" fontId="4" fillId="24" borderId="19" xfId="0" applyFont="1" applyFill="1" applyBorder="1" applyAlignment="1" applyProtection="1">
      <alignment horizontal="left"/>
      <protection/>
    </xf>
    <xf numFmtId="0" fontId="32" fillId="24" borderId="12" xfId="0" applyFont="1" applyFill="1" applyBorder="1" applyAlignment="1" applyProtection="1">
      <alignment horizontal="left"/>
      <protection/>
    </xf>
    <xf numFmtId="0" fontId="32" fillId="24" borderId="13" xfId="0" applyFont="1" applyFill="1" applyBorder="1" applyAlignment="1" applyProtection="1">
      <alignment horizontal="left"/>
      <protection/>
    </xf>
    <xf numFmtId="0" fontId="32" fillId="24" borderId="14" xfId="0" applyFont="1" applyFill="1" applyBorder="1" applyAlignment="1" applyProtection="1">
      <alignment horizontal="left"/>
      <protection/>
    </xf>
    <xf numFmtId="17" fontId="4" fillId="24" borderId="12" xfId="0" applyNumberFormat="1" applyFont="1" applyFill="1" applyBorder="1" applyAlignment="1" applyProtection="1">
      <alignment horizontal="center"/>
      <protection/>
    </xf>
    <xf numFmtId="17" fontId="4" fillId="24" borderId="14" xfId="0" applyNumberFormat="1" applyFont="1" applyFill="1" applyBorder="1" applyAlignment="1" applyProtection="1">
      <alignment horizontal="center"/>
      <protection/>
    </xf>
    <xf numFmtId="165" fontId="4" fillId="24" borderId="13" xfId="0" applyNumberFormat="1" applyFont="1" applyFill="1" applyBorder="1" applyAlignment="1" applyProtection="1">
      <alignment horizontal="center"/>
      <protection/>
    </xf>
    <xf numFmtId="165" fontId="4" fillId="24" borderId="14" xfId="0" applyNumberFormat="1" applyFont="1" applyFill="1" applyBorder="1" applyAlignment="1" applyProtection="1">
      <alignment horizontal="center"/>
      <protection/>
    </xf>
    <xf numFmtId="0" fontId="4" fillId="24" borderId="20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2" fillId="24" borderId="12" xfId="0" applyFont="1" applyFill="1" applyBorder="1" applyAlignment="1" applyProtection="1">
      <alignment horizontal="center"/>
      <protection/>
    </xf>
    <xf numFmtId="0" fontId="2" fillId="24" borderId="13" xfId="0" applyFont="1" applyFill="1" applyBorder="1" applyAlignment="1" applyProtection="1">
      <alignment horizontal="center"/>
      <protection/>
    </xf>
    <xf numFmtId="0" fontId="2" fillId="24" borderId="14" xfId="0" applyFont="1" applyFill="1" applyBorder="1" applyAlignment="1" applyProtection="1">
      <alignment horizontal="center"/>
      <protection/>
    </xf>
    <xf numFmtId="0" fontId="32" fillId="24" borderId="12" xfId="0" applyFont="1" applyFill="1" applyBorder="1" applyAlignment="1" applyProtection="1">
      <alignment horizontal="center"/>
      <protection/>
    </xf>
    <xf numFmtId="0" fontId="32" fillId="24" borderId="13" xfId="0" applyFont="1" applyFill="1" applyBorder="1" applyAlignment="1" applyProtection="1">
      <alignment horizontal="center"/>
      <protection/>
    </xf>
    <xf numFmtId="0" fontId="32" fillId="24" borderId="14" xfId="0" applyFont="1" applyFill="1" applyBorder="1" applyAlignment="1" applyProtection="1">
      <alignment horizontal="center"/>
      <protection/>
    </xf>
    <xf numFmtId="2" fontId="1" fillId="24" borderId="37" xfId="50" applyNumberFormat="1" applyFont="1" applyFill="1" applyBorder="1" applyAlignment="1" applyProtection="1">
      <alignment horizontal="center"/>
      <protection/>
    </xf>
    <xf numFmtId="2" fontId="1" fillId="24" borderId="38" xfId="50" applyNumberFormat="1" applyFont="1" applyFill="1" applyBorder="1" applyAlignment="1" applyProtection="1">
      <alignment horizontal="center"/>
      <protection/>
    </xf>
    <xf numFmtId="1" fontId="0" fillId="24" borderId="39" xfId="50" applyNumberFormat="1" applyFont="1" applyFill="1" applyBorder="1" applyAlignment="1" applyProtection="1">
      <alignment horizontal="center"/>
      <protection/>
    </xf>
    <xf numFmtId="1" fontId="0" fillId="24" borderId="13" xfId="50" applyNumberFormat="1" applyFont="1" applyFill="1" applyBorder="1" applyAlignment="1" applyProtection="1">
      <alignment horizontal="center"/>
      <protection/>
    </xf>
    <xf numFmtId="1" fontId="0" fillId="24" borderId="14" xfId="50" applyNumberFormat="1" applyFont="1" applyFill="1" applyBorder="1" applyAlignment="1" applyProtection="1">
      <alignment horizontal="center"/>
      <protection/>
    </xf>
    <xf numFmtId="2" fontId="0" fillId="24" borderId="39" xfId="50" applyNumberFormat="1" applyFont="1" applyFill="1" applyBorder="1" applyAlignment="1" applyProtection="1">
      <alignment horizontal="center"/>
      <protection/>
    </xf>
    <xf numFmtId="2" fontId="0" fillId="24" borderId="13" xfId="50" applyNumberFormat="1" applyFont="1" applyFill="1" applyBorder="1" applyAlignment="1" applyProtection="1">
      <alignment horizontal="center"/>
      <protection/>
    </xf>
    <xf numFmtId="2" fontId="0" fillId="24" borderId="40" xfId="50" applyNumberFormat="1" applyFont="1" applyFill="1" applyBorder="1" applyAlignment="1" applyProtection="1">
      <alignment horizontal="center"/>
      <protection/>
    </xf>
    <xf numFmtId="2" fontId="1" fillId="24" borderId="41" xfId="50" applyNumberFormat="1" applyFont="1" applyFill="1" applyBorder="1" applyAlignment="1" applyProtection="1">
      <alignment horizontal="center"/>
      <protection/>
    </xf>
    <xf numFmtId="2" fontId="1" fillId="24" borderId="42" xfId="50" applyNumberFormat="1" applyFont="1" applyFill="1" applyBorder="1" applyAlignment="1" applyProtection="1">
      <alignment horizontal="center"/>
      <protection/>
    </xf>
    <xf numFmtId="2" fontId="1" fillId="24" borderId="23" xfId="50" applyNumberFormat="1" applyFont="1" applyFill="1" applyBorder="1" applyAlignment="1" applyProtection="1">
      <alignment horizontal="center" vertical="center"/>
      <protection/>
    </xf>
    <xf numFmtId="2" fontId="1" fillId="24" borderId="26" xfId="50" applyNumberFormat="1" applyFont="1" applyFill="1" applyBorder="1" applyAlignment="1" applyProtection="1">
      <alignment horizontal="center" vertical="center"/>
      <protection/>
    </xf>
    <xf numFmtId="2" fontId="1" fillId="24" borderId="18" xfId="50" applyNumberFormat="1" applyFont="1" applyFill="1" applyBorder="1" applyAlignment="1" applyProtection="1">
      <alignment horizontal="center" vertical="center"/>
      <protection/>
    </xf>
    <xf numFmtId="2" fontId="1" fillId="24" borderId="32" xfId="50" applyNumberFormat="1" applyFont="1" applyFill="1" applyBorder="1" applyAlignment="1" applyProtection="1">
      <alignment horizontal="center"/>
      <protection/>
    </xf>
    <xf numFmtId="2" fontId="1" fillId="24" borderId="43" xfId="50" applyNumberFormat="1" applyFont="1" applyFill="1" applyBorder="1" applyAlignment="1" applyProtection="1">
      <alignment horizontal="center"/>
      <protection/>
    </xf>
    <xf numFmtId="2" fontId="1" fillId="24" borderId="44" xfId="50" applyNumberFormat="1" applyFont="1" applyFill="1" applyBorder="1" applyAlignment="1" applyProtection="1">
      <alignment horizontal="center"/>
      <protection/>
    </xf>
    <xf numFmtId="0" fontId="0" fillId="24" borderId="45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left" vertical="center"/>
      <protection/>
    </xf>
    <xf numFmtId="0" fontId="0" fillId="24" borderId="11" xfId="0" applyFont="1" applyFill="1" applyBorder="1" applyAlignment="1" applyProtection="1">
      <alignment horizontal="left" vertical="center"/>
      <protection/>
    </xf>
    <xf numFmtId="43" fontId="0" fillId="24" borderId="10" xfId="54" applyFont="1" applyFill="1" applyBorder="1" applyAlignment="1" applyProtection="1">
      <alignment horizontal="center"/>
      <protection/>
    </xf>
    <xf numFmtId="43" fontId="0" fillId="24" borderId="11" xfId="54" applyFont="1" applyFill="1" applyBorder="1" applyAlignment="1" applyProtection="1">
      <alignment horizontal="center"/>
      <protection/>
    </xf>
    <xf numFmtId="4" fontId="3" fillId="24" borderId="0" xfId="0" applyNumberFormat="1" applyFont="1" applyFill="1" applyBorder="1" applyAlignment="1" applyProtection="1">
      <alignment horizontal="center" vertical="top"/>
      <protection/>
    </xf>
    <xf numFmtId="4" fontId="32" fillId="24" borderId="21" xfId="0" applyNumberFormat="1" applyFont="1" applyFill="1" applyBorder="1" applyAlignment="1" applyProtection="1">
      <alignment horizontal="center" vertical="top"/>
      <protection/>
    </xf>
    <xf numFmtId="4" fontId="32" fillId="24" borderId="16" xfId="0" applyNumberFormat="1" applyFont="1" applyFill="1" applyBorder="1" applyAlignment="1" applyProtection="1">
      <alignment horizontal="center" vertical="top"/>
      <protection/>
    </xf>
    <xf numFmtId="4" fontId="32" fillId="24" borderId="22" xfId="0" applyNumberFormat="1" applyFont="1" applyFill="1" applyBorder="1" applyAlignment="1" applyProtection="1">
      <alignment horizontal="center" vertical="top"/>
      <protection/>
    </xf>
    <xf numFmtId="4" fontId="32" fillId="24" borderId="12" xfId="0" applyNumberFormat="1" applyFont="1" applyFill="1" applyBorder="1" applyAlignment="1" applyProtection="1">
      <alignment horizontal="left" vertical="top"/>
      <protection/>
    </xf>
    <xf numFmtId="4" fontId="32" fillId="24" borderId="13" xfId="0" applyNumberFormat="1" applyFont="1" applyFill="1" applyBorder="1" applyAlignment="1" applyProtection="1">
      <alignment horizontal="left" vertical="top"/>
      <protection/>
    </xf>
    <xf numFmtId="4" fontId="32" fillId="24" borderId="14" xfId="0" applyNumberFormat="1" applyFont="1" applyFill="1" applyBorder="1" applyAlignment="1" applyProtection="1">
      <alignment horizontal="left" vertical="top"/>
      <protection/>
    </xf>
    <xf numFmtId="4" fontId="4" fillId="24" borderId="12" xfId="0" applyNumberFormat="1" applyFont="1" applyFill="1" applyBorder="1" applyAlignment="1" applyProtection="1">
      <alignment horizontal="left" vertical="top"/>
      <protection/>
    </xf>
    <xf numFmtId="4" fontId="4" fillId="24" borderId="13" xfId="0" applyNumberFormat="1" applyFont="1" applyFill="1" applyBorder="1" applyAlignment="1" applyProtection="1">
      <alignment horizontal="left" vertical="top"/>
      <protection/>
    </xf>
    <xf numFmtId="4" fontId="4" fillId="24" borderId="14" xfId="0" applyNumberFormat="1" applyFont="1" applyFill="1" applyBorder="1" applyAlignment="1" applyProtection="1">
      <alignment horizontal="left" vertical="top"/>
      <protection/>
    </xf>
    <xf numFmtId="2" fontId="0" fillId="24" borderId="10" xfId="50" applyNumberFormat="1" applyFont="1" applyFill="1" applyBorder="1" applyAlignment="1" applyProtection="1">
      <alignment horizontal="center"/>
      <protection/>
    </xf>
    <xf numFmtId="2" fontId="0" fillId="24" borderId="11" xfId="50" applyNumberFormat="1" applyFont="1" applyFill="1" applyBorder="1" applyAlignment="1" applyProtection="1">
      <alignment horizontal="center"/>
      <protection/>
    </xf>
    <xf numFmtId="4" fontId="4" fillId="24" borderId="12" xfId="0" applyNumberFormat="1" applyFont="1" applyFill="1" applyBorder="1" applyAlignment="1" applyProtection="1">
      <alignment horizontal="center" vertical="top"/>
      <protection/>
    </xf>
    <xf numFmtId="4" fontId="4" fillId="24" borderId="13" xfId="0" applyNumberFormat="1" applyFont="1" applyFill="1" applyBorder="1" applyAlignment="1" applyProtection="1">
      <alignment horizontal="center" vertical="top"/>
      <protection/>
    </xf>
    <xf numFmtId="43" fontId="0" fillId="24" borderId="0" xfId="54" applyFont="1" applyFill="1" applyBorder="1" applyAlignment="1" applyProtection="1">
      <alignment horizontal="left"/>
      <protection/>
    </xf>
    <xf numFmtId="43" fontId="14" fillId="24" borderId="0" xfId="54" applyFont="1" applyFill="1" applyBorder="1" applyAlignment="1" applyProtection="1">
      <alignment horizontal="center"/>
      <protection/>
    </xf>
    <xf numFmtId="4" fontId="4" fillId="24" borderId="46" xfId="0" applyNumberFormat="1" applyFont="1" applyFill="1" applyBorder="1" applyAlignment="1" applyProtection="1">
      <alignment horizontal="left" vertical="top"/>
      <protection/>
    </xf>
    <xf numFmtId="4" fontId="4" fillId="24" borderId="16" xfId="0" applyNumberFormat="1" applyFont="1" applyFill="1" applyBorder="1" applyAlignment="1" applyProtection="1">
      <alignment horizontal="left" vertical="top"/>
      <protection/>
    </xf>
    <xf numFmtId="4" fontId="4" fillId="24" borderId="22" xfId="0" applyNumberFormat="1" applyFont="1" applyFill="1" applyBorder="1" applyAlignment="1" applyProtection="1">
      <alignment horizontal="left" vertical="top"/>
      <protection/>
    </xf>
    <xf numFmtId="4" fontId="4" fillId="24" borderId="16" xfId="0" applyNumberFormat="1" applyFont="1" applyFill="1" applyBorder="1" applyAlignment="1" applyProtection="1">
      <alignment horizontal="center" vertical="top"/>
      <protection/>
    </xf>
    <xf numFmtId="4" fontId="4" fillId="24" borderId="12" xfId="0" applyNumberFormat="1" applyFont="1" applyFill="1" applyBorder="1" applyAlignment="1" applyProtection="1">
      <alignment horizontal="left"/>
      <protection/>
    </xf>
    <xf numFmtId="4" fontId="4" fillId="24" borderId="13" xfId="0" applyNumberFormat="1" applyFont="1" applyFill="1" applyBorder="1" applyAlignment="1" applyProtection="1">
      <alignment horizontal="left"/>
      <protection/>
    </xf>
    <xf numFmtId="4" fontId="4" fillId="24" borderId="14" xfId="0" applyNumberFormat="1" applyFont="1" applyFill="1" applyBorder="1" applyAlignment="1" applyProtection="1">
      <alignment horizontal="left"/>
      <protection/>
    </xf>
    <xf numFmtId="170" fontId="4" fillId="24" borderId="13" xfId="0" applyNumberFormat="1" applyFont="1" applyFill="1" applyBorder="1" applyAlignment="1" applyProtection="1">
      <alignment horizontal="center"/>
      <protection/>
    </xf>
    <xf numFmtId="0" fontId="4" fillId="24" borderId="12" xfId="0" applyFont="1" applyFill="1" applyBorder="1" applyAlignment="1" applyProtection="1">
      <alignment horizontal="right"/>
      <protection/>
    </xf>
    <xf numFmtId="0" fontId="4" fillId="24" borderId="13" xfId="0" applyFont="1" applyFill="1" applyBorder="1" applyAlignment="1" applyProtection="1">
      <alignment horizontal="right"/>
      <protection/>
    </xf>
    <xf numFmtId="10" fontId="4" fillId="24" borderId="13" xfId="52" applyNumberFormat="1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left" wrapText="1"/>
      <protection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0" fillId="24" borderId="11" xfId="0" applyFont="1" applyFill="1" applyBorder="1" applyAlignment="1" applyProtection="1">
      <alignment horizontal="left" vertical="top" wrapText="1"/>
      <protection/>
    </xf>
    <xf numFmtId="4" fontId="1" fillId="24" borderId="34" xfId="50" applyNumberFormat="1" applyFont="1" applyFill="1" applyBorder="1" applyAlignment="1" applyProtection="1">
      <alignment horizontal="center" vertical="center"/>
      <protection/>
    </xf>
    <xf numFmtId="2" fontId="1" fillId="24" borderId="45" xfId="50" applyNumberFormat="1" applyFont="1" applyFill="1" applyBorder="1" applyAlignment="1" applyProtection="1">
      <alignment horizontal="center" vertical="center"/>
      <protection/>
    </xf>
    <xf numFmtId="2" fontId="1" fillId="24" borderId="11" xfId="50" applyNumberFormat="1" applyFont="1" applyFill="1" applyBorder="1" applyAlignment="1" applyProtection="1">
      <alignment horizontal="center" vertical="center"/>
      <protection/>
    </xf>
    <xf numFmtId="2" fontId="1" fillId="24" borderId="47" xfId="50" applyNumberFormat="1" applyFont="1" applyFill="1" applyBorder="1" applyAlignment="1" applyProtection="1">
      <alignment horizontal="center" vertical="center"/>
      <protection/>
    </xf>
    <xf numFmtId="2" fontId="1" fillId="24" borderId="34" xfId="5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BS_JARDIM_PANORAMICO_020512\TERMINO%20DA%20OBRA-16.08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BS_JARDIM_PANORAMICO_020512\TERMINO%20DA%20OBRA-11-09-12%20revis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BDI"/>
      <sheetName val="CRO"/>
      <sheetName val="MC"/>
    </sheetNames>
    <sheetDataSet>
      <sheetData sheetId="0">
        <row r="6">
          <cell r="A6" t="str">
            <v>PROGRAMA: ESTRUTURAÇÃO DA ATENÇÃO BASICA À SAUDE</v>
          </cell>
          <cell r="I6" t="str">
            <v>CONTRATO:0276370-00</v>
          </cell>
        </row>
        <row r="7">
          <cell r="A7" t="str">
            <v>PROJETO: TERMINO DE CONSTRUÇÃO DE UNIDADE BASICA DE SAUDE</v>
          </cell>
        </row>
        <row r="8">
          <cell r="A8" t="str">
            <v>LOCAL: BAIRRO JARDIM PANORÂMICO - PATOS DE MINAS/MG</v>
          </cell>
        </row>
        <row r="11">
          <cell r="H11">
            <v>41135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BDI"/>
      <sheetName val="CRO"/>
      <sheetName val="MC"/>
    </sheetNames>
    <sheetDataSet>
      <sheetData sheetId="0">
        <row r="6">
          <cell r="A6" t="str">
            <v>PROGRAMA: ESTRUTURAÇÃO DA ATENÇÃO BASICA À SAUDE</v>
          </cell>
          <cell r="I6" t="str">
            <v>CONTRATO:0276370-00</v>
          </cell>
        </row>
        <row r="7">
          <cell r="A7" t="str">
            <v>PROJETO: TERMINO DE CONSTRUÇÃO DE UNIDADE BASICA DE SAUDE</v>
          </cell>
        </row>
        <row r="8">
          <cell r="A8" t="str">
            <v>LOCAL: BAIRRO JARDIM PANORÂMICO - PATOS DE MINAS/MG</v>
          </cell>
        </row>
        <row r="9">
          <cell r="A9" t="str">
            <v>REFERÊNCIA DE PREÇOS: TABELA SINAPI, PRAÇA</v>
          </cell>
          <cell r="J9" t="str">
            <v>DATA DE REFERÊNCIA:</v>
          </cell>
          <cell r="M9">
            <v>41000</v>
          </cell>
        </row>
        <row r="11">
          <cell r="K11">
            <v>0.3</v>
          </cell>
        </row>
        <row r="36">
          <cell r="M36">
            <v>0</v>
          </cell>
        </row>
        <row r="46">
          <cell r="M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3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9.140625" style="124" customWidth="1"/>
    <col min="2" max="2" width="10.28125" style="124" bestFit="1" customWidth="1"/>
    <col min="3" max="3" width="9.140625" style="124" customWidth="1"/>
    <col min="4" max="4" width="14.57421875" style="124" bestFit="1" customWidth="1"/>
    <col min="5" max="6" width="9.140625" style="124" customWidth="1"/>
    <col min="7" max="7" width="11.140625" style="124" bestFit="1" customWidth="1"/>
    <col min="8" max="16384" width="9.140625" style="124" customWidth="1"/>
  </cols>
  <sheetData>
    <row r="1" spans="1:11" ht="23.25">
      <c r="A1" s="247" t="s">
        <v>601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23.25">
      <c r="A2" s="248" t="s">
        <v>602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23.25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23.25">
      <c r="A4" s="240" t="s">
        <v>603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4.5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</row>
    <row r="6" spans="1:11" ht="15.75">
      <c r="A6" s="110" t="str">
        <f>'[1]ORÇAMENTO'!A6</f>
        <v>PROGRAMA: ESTRUTURAÇÃO DA ATENÇÃO BASICA À SAUDE</v>
      </c>
      <c r="B6" s="111"/>
      <c r="C6" s="111"/>
      <c r="D6" s="111"/>
      <c r="E6" s="111"/>
      <c r="F6" s="111"/>
      <c r="G6" s="111"/>
      <c r="H6" s="244" t="str">
        <f>'[1]ORÇAMENTO'!I6</f>
        <v>CONTRATO:0276370-00</v>
      </c>
      <c r="I6" s="245"/>
      <c r="J6" s="245"/>
      <c r="K6" s="246"/>
    </row>
    <row r="7" spans="1:11" ht="15.75">
      <c r="A7" s="110" t="str">
        <f>'[1]ORÇAMENTO'!A7</f>
        <v>PROJETO: TERMINO DE CONSTRUÇÃO DE UNIDADE BASICA DE SAUDE</v>
      </c>
      <c r="B7" s="112"/>
      <c r="C7" s="112"/>
      <c r="D7" s="112"/>
      <c r="E7" s="112"/>
      <c r="F7" s="112"/>
      <c r="G7" s="112"/>
      <c r="H7" s="112"/>
      <c r="I7" s="112"/>
      <c r="J7" s="112"/>
      <c r="K7" s="113"/>
    </row>
    <row r="8" spans="1:11" ht="12.75">
      <c r="A8" s="114" t="str">
        <f>'[1]ORÇAMENTO'!A8</f>
        <v>LOCAL: BAIRRO JARDIM PANORÂMICO - PATOS DE MINAS/MG</v>
      </c>
      <c r="B8" s="112"/>
      <c r="C8" s="112"/>
      <c r="D8" s="112"/>
      <c r="E8" s="112"/>
      <c r="F8" s="112"/>
      <c r="G8" s="112"/>
      <c r="H8" s="115" t="s">
        <v>588</v>
      </c>
      <c r="I8" s="116">
        <f>'[1]ORÇAMENTO'!H11</f>
        <v>41135</v>
      </c>
      <c r="J8" s="112"/>
      <c r="K8" s="113"/>
    </row>
    <row r="9" spans="1:11" ht="14.25">
      <c r="A9" s="117" t="str">
        <f>orçamento!A10</f>
        <v>PROF. RESP.: MARIA IGNES SILVERIO</v>
      </c>
      <c r="B9" s="118"/>
      <c r="C9" s="118"/>
      <c r="D9" s="119"/>
      <c r="E9" s="120"/>
      <c r="F9" s="120" t="str">
        <f>orçamento!G10</f>
        <v>CREA:MG-30.465/D</v>
      </c>
      <c r="G9" s="121"/>
      <c r="H9" s="122"/>
      <c r="I9" s="239" t="str">
        <f>orçamento!J10</f>
        <v>ART: 767429</v>
      </c>
      <c r="J9" s="237"/>
      <c r="K9" s="238"/>
    </row>
    <row r="10" spans="1:11" ht="4.5" customHeight="1" thickBo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1:11" ht="12.75">
      <c r="A11" s="146"/>
      <c r="B11" s="147"/>
      <c r="C11" s="147"/>
      <c r="D11" s="147"/>
      <c r="E11" s="147"/>
      <c r="F11" s="147"/>
      <c r="G11" s="147"/>
      <c r="H11" s="147"/>
      <c r="I11" s="147"/>
      <c r="J11" s="147"/>
      <c r="K11" s="148"/>
    </row>
    <row r="12" spans="1:11" ht="12.75">
      <c r="A12" s="149" t="s">
        <v>604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50"/>
    </row>
    <row r="13" spans="1:11" ht="13.5" thickBot="1">
      <c r="A13" s="149"/>
      <c r="B13" s="135"/>
      <c r="C13" s="135"/>
      <c r="D13" s="135"/>
      <c r="E13" s="135"/>
      <c r="F13" s="135"/>
      <c r="G13" s="135"/>
      <c r="H13" s="135"/>
      <c r="I13" s="135"/>
      <c r="J13" s="135"/>
      <c r="K13" s="150"/>
    </row>
    <row r="14" spans="1:11" ht="13.5" thickBot="1">
      <c r="A14" s="149"/>
      <c r="B14" s="151">
        <v>0.01</v>
      </c>
      <c r="C14" s="135"/>
      <c r="D14" s="135"/>
      <c r="E14" s="135"/>
      <c r="F14" s="135"/>
      <c r="G14" s="135"/>
      <c r="H14" s="135"/>
      <c r="I14" s="135"/>
      <c r="J14" s="135"/>
      <c r="K14" s="150"/>
    </row>
    <row r="15" spans="1:11" ht="12.75">
      <c r="A15" s="149"/>
      <c r="B15" s="135"/>
      <c r="C15" s="135"/>
      <c r="D15" s="135"/>
      <c r="E15" s="152" t="s">
        <v>605</v>
      </c>
      <c r="F15" s="135"/>
      <c r="G15" s="135"/>
      <c r="H15" s="135"/>
      <c r="I15" s="6" t="s">
        <v>606</v>
      </c>
      <c r="J15" s="153">
        <f>1+B18+B22+B30</f>
        <v>1.10455</v>
      </c>
      <c r="K15" s="150"/>
    </row>
    <row r="16" spans="1:11" ht="12.75">
      <c r="A16" s="149" t="s">
        <v>607</v>
      </c>
      <c r="B16" s="135"/>
      <c r="C16" s="135"/>
      <c r="D16" s="135"/>
      <c r="E16" s="152" t="s">
        <v>608</v>
      </c>
      <c r="F16" s="135"/>
      <c r="G16" s="135"/>
      <c r="H16" s="135"/>
      <c r="I16" s="6" t="s">
        <v>609</v>
      </c>
      <c r="J16" s="153">
        <f>1+B14</f>
        <v>1.01</v>
      </c>
      <c r="K16" s="150"/>
    </row>
    <row r="17" spans="1:11" ht="13.5" thickBot="1">
      <c r="A17" s="149"/>
      <c r="B17" s="135"/>
      <c r="C17" s="135"/>
      <c r="D17" s="135"/>
      <c r="E17" s="152" t="s">
        <v>610</v>
      </c>
      <c r="F17" s="135"/>
      <c r="G17" s="135"/>
      <c r="H17" s="135"/>
      <c r="I17" s="6" t="s">
        <v>611</v>
      </c>
      <c r="J17" s="153">
        <f>1+B26</f>
        <v>1.09945</v>
      </c>
      <c r="K17" s="150"/>
    </row>
    <row r="18" spans="1:11" ht="13.5" thickBot="1">
      <c r="A18" s="149"/>
      <c r="B18" s="151">
        <v>0.0201</v>
      </c>
      <c r="C18" s="135"/>
      <c r="D18" s="135"/>
      <c r="E18" s="152" t="s">
        <v>612</v>
      </c>
      <c r="F18" s="135"/>
      <c r="G18" s="135"/>
      <c r="H18" s="135"/>
      <c r="I18" s="6" t="s">
        <v>613</v>
      </c>
      <c r="J18" s="153">
        <f>1-C35-E35-G35-C37</f>
        <v>0.9435</v>
      </c>
      <c r="K18" s="150"/>
    </row>
    <row r="19" spans="1:11" ht="12.75">
      <c r="A19" s="149"/>
      <c r="B19" s="135"/>
      <c r="C19" s="135"/>
      <c r="D19" s="135"/>
      <c r="E19" s="135"/>
      <c r="F19" s="135"/>
      <c r="G19" s="135"/>
      <c r="H19" s="135"/>
      <c r="I19" s="135"/>
      <c r="J19" s="135"/>
      <c r="K19" s="150"/>
    </row>
    <row r="20" spans="1:11" ht="12.75">
      <c r="A20" s="149" t="s">
        <v>614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50"/>
    </row>
    <row r="21" spans="1:11" ht="13.5" thickBot="1">
      <c r="A21" s="149"/>
      <c r="B21" s="135"/>
      <c r="C21" s="135"/>
      <c r="D21" s="135"/>
      <c r="E21" s="135"/>
      <c r="F21" s="135"/>
      <c r="G21" s="135"/>
      <c r="H21" s="135"/>
      <c r="I21" s="135"/>
      <c r="J21" s="135"/>
      <c r="K21" s="150"/>
    </row>
    <row r="22" spans="1:11" ht="13.5" thickBot="1">
      <c r="A22" s="149"/>
      <c r="B22" s="151">
        <v>0.08025</v>
      </c>
      <c r="C22" s="135"/>
      <c r="D22" s="135"/>
      <c r="E22" s="135"/>
      <c r="F22" s="135"/>
      <c r="G22" s="135"/>
      <c r="H22" s="135"/>
      <c r="I22" s="135"/>
      <c r="J22" s="135"/>
      <c r="K22" s="150"/>
    </row>
    <row r="23" spans="1:11" ht="12.75">
      <c r="A23" s="149"/>
      <c r="B23" s="135"/>
      <c r="C23" s="135"/>
      <c r="D23" s="135"/>
      <c r="E23" s="135"/>
      <c r="F23" s="135"/>
      <c r="G23" s="135"/>
      <c r="H23" s="135"/>
      <c r="I23" s="135"/>
      <c r="J23" s="135"/>
      <c r="K23" s="150"/>
    </row>
    <row r="24" spans="1:11" ht="12.75">
      <c r="A24" s="149" t="s">
        <v>615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50"/>
    </row>
    <row r="25" spans="1:11" ht="13.5" thickBot="1">
      <c r="A25" s="149"/>
      <c r="B25" s="135"/>
      <c r="C25" s="135"/>
      <c r="D25" s="135"/>
      <c r="E25" s="135"/>
      <c r="F25" s="135"/>
      <c r="G25" s="135"/>
      <c r="H25" s="135"/>
      <c r="I25" s="135"/>
      <c r="J25" s="135"/>
      <c r="K25" s="150"/>
    </row>
    <row r="26" spans="1:11" ht="13.5" thickBot="1">
      <c r="A26" s="149"/>
      <c r="B26" s="151">
        <v>0.09945</v>
      </c>
      <c r="C26" s="135"/>
      <c r="D26" s="135"/>
      <c r="E26" s="135"/>
      <c r="F26" s="135"/>
      <c r="G26" s="135"/>
      <c r="H26" s="135"/>
      <c r="I26" s="135"/>
      <c r="J26" s="135"/>
      <c r="K26" s="150"/>
    </row>
    <row r="27" spans="1:11" ht="12.75">
      <c r="A27" s="149"/>
      <c r="B27" s="135"/>
      <c r="C27" s="135"/>
      <c r="D27" s="135"/>
      <c r="E27" s="135"/>
      <c r="F27" s="135"/>
      <c r="G27" s="135"/>
      <c r="H27" s="135"/>
      <c r="I27" s="135"/>
      <c r="J27" s="135"/>
      <c r="K27" s="150"/>
    </row>
    <row r="28" spans="1:11" ht="12.75">
      <c r="A28" s="149" t="s">
        <v>616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50"/>
    </row>
    <row r="29" spans="1:11" ht="13.5" thickBot="1">
      <c r="A29" s="149"/>
      <c r="B29" s="135"/>
      <c r="C29" s="135"/>
      <c r="D29" s="135"/>
      <c r="E29" s="135"/>
      <c r="F29" s="135"/>
      <c r="G29" s="135"/>
      <c r="H29" s="135"/>
      <c r="I29" s="135"/>
      <c r="J29" s="135"/>
      <c r="K29" s="150"/>
    </row>
    <row r="30" spans="1:11" ht="13.5" thickBot="1">
      <c r="A30" s="149"/>
      <c r="B30" s="151">
        <v>0.0042</v>
      </c>
      <c r="C30" s="135"/>
      <c r="D30" s="135"/>
      <c r="E30" s="135"/>
      <c r="F30" s="135"/>
      <c r="G30" s="135"/>
      <c r="H30" s="135"/>
      <c r="I30" s="135"/>
      <c r="J30" s="135"/>
      <c r="K30" s="150"/>
    </row>
    <row r="31" spans="1:11" ht="12.75">
      <c r="A31" s="149"/>
      <c r="B31" s="154"/>
      <c r="C31" s="135"/>
      <c r="D31" s="135"/>
      <c r="E31" s="135"/>
      <c r="F31" s="135"/>
      <c r="G31" s="135"/>
      <c r="H31" s="135"/>
      <c r="I31" s="135"/>
      <c r="J31" s="135"/>
      <c r="K31" s="150"/>
    </row>
    <row r="32" spans="1:11" ht="25.5" customHeight="1">
      <c r="A32" s="211" t="s">
        <v>617</v>
      </c>
      <c r="B32" s="182"/>
      <c r="C32" s="182"/>
      <c r="D32" s="182"/>
      <c r="E32" s="182"/>
      <c r="F32" s="182"/>
      <c r="G32" s="182"/>
      <c r="H32" s="182"/>
      <c r="I32" s="182"/>
      <c r="J32" s="182"/>
      <c r="K32" s="250"/>
    </row>
    <row r="33" spans="1:11" ht="12.75">
      <c r="A33" s="155" t="s">
        <v>618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50"/>
    </row>
    <row r="34" spans="1:11" ht="13.5" thickBot="1">
      <c r="A34" s="149"/>
      <c r="B34" s="135"/>
      <c r="C34" s="135"/>
      <c r="D34" s="135"/>
      <c r="E34" s="135"/>
      <c r="F34" s="135"/>
      <c r="G34" s="135"/>
      <c r="H34" s="135"/>
      <c r="I34" s="135"/>
      <c r="J34" s="135"/>
      <c r="K34" s="150"/>
    </row>
    <row r="35" spans="1:11" ht="13.5" thickBot="1">
      <c r="A35" s="149"/>
      <c r="B35" s="135" t="s">
        <v>619</v>
      </c>
      <c r="C35" s="151">
        <v>0.03</v>
      </c>
      <c r="D35" s="156" t="s">
        <v>620</v>
      </c>
      <c r="E35" s="151">
        <v>0.0065</v>
      </c>
      <c r="F35" s="156" t="s">
        <v>621</v>
      </c>
      <c r="G35" s="151">
        <v>0.02</v>
      </c>
      <c r="H35" s="135"/>
      <c r="I35" s="135"/>
      <c r="J35" s="157"/>
      <c r="K35" s="150"/>
    </row>
    <row r="36" spans="1:11" ht="13.5" thickBot="1">
      <c r="A36" s="149"/>
      <c r="B36" s="135"/>
      <c r="C36" s="135"/>
      <c r="D36" s="135"/>
      <c r="E36" s="135"/>
      <c r="F36" s="135"/>
      <c r="G36" s="135"/>
      <c r="H36" s="135"/>
      <c r="I36" s="135"/>
      <c r="J36" s="157"/>
      <c r="K36" s="150"/>
    </row>
    <row r="37" spans="1:11" ht="13.5" thickBot="1">
      <c r="A37" s="149"/>
      <c r="B37" s="135" t="s">
        <v>622</v>
      </c>
      <c r="C37" s="151">
        <v>0</v>
      </c>
      <c r="D37" s="135"/>
      <c r="E37" s="135"/>
      <c r="F37" s="154"/>
      <c r="G37" s="135"/>
      <c r="H37" s="135"/>
      <c r="I37" s="157"/>
      <c r="J37" s="135"/>
      <c r="K37" s="150"/>
    </row>
    <row r="38" spans="1:11" ht="12.75">
      <c r="A38" s="149"/>
      <c r="B38" s="135"/>
      <c r="C38" s="135"/>
      <c r="D38" s="135"/>
      <c r="E38" s="135"/>
      <c r="F38" s="135"/>
      <c r="G38" s="135"/>
      <c r="H38" s="135"/>
      <c r="I38" s="135"/>
      <c r="J38" s="135"/>
      <c r="K38" s="150"/>
    </row>
    <row r="39" spans="1:11" ht="15.75">
      <c r="A39" s="149"/>
      <c r="B39" s="158"/>
      <c r="C39" s="158" t="s">
        <v>623</v>
      </c>
      <c r="D39" s="159">
        <f>(J15*J16*J17/J18)-1</f>
        <v>0.2999909618176999</v>
      </c>
      <c r="E39" s="135"/>
      <c r="F39" s="135"/>
      <c r="G39" s="135"/>
      <c r="H39" s="135"/>
      <c r="I39" s="135"/>
      <c r="J39" s="135"/>
      <c r="K39" s="150"/>
    </row>
    <row r="40" spans="1:11" ht="13.5" thickBot="1">
      <c r="A40" s="160"/>
      <c r="B40" s="161"/>
      <c r="C40" s="161"/>
      <c r="D40" s="161"/>
      <c r="E40" s="161"/>
      <c r="F40" s="161"/>
      <c r="G40" s="161"/>
      <c r="H40" s="161"/>
      <c r="I40" s="161"/>
      <c r="J40" s="161"/>
      <c r="K40" s="162"/>
    </row>
  </sheetData>
  <sheetProtection password="F751" sheet="1" objects="1" scenarios="1"/>
  <mergeCells count="8">
    <mergeCell ref="A5:K5"/>
    <mergeCell ref="H6:K6"/>
    <mergeCell ref="I9:K9"/>
    <mergeCell ref="A32:K32"/>
    <mergeCell ref="A1:K1"/>
    <mergeCell ref="A2:K2"/>
    <mergeCell ref="A3:K3"/>
    <mergeCell ref="A4:K4"/>
  </mergeCells>
  <printOptions/>
  <pageMargins left="0.75" right="0.75" top="1" bottom="1" header="0.492125985" footer="0.492125985"/>
  <pageSetup horizontalDpi="600" verticalDpi="600" orientation="portrait" paperSize="9" scale="79" r:id="rId5"/>
  <legacyDrawing r:id="rId4"/>
  <oleObjects>
    <oleObject progId="Word.Picture.8" shapeId="71701" r:id="rId1"/>
    <oleObject progId="Word.Picture.8" shapeId="71702" r:id="rId2"/>
    <oleObject progId="Word.Picture.8" shapeId="7170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383"/>
  <sheetViews>
    <sheetView zoomScale="90" zoomScaleNormal="90" zoomScalePageLayoutView="0" workbookViewId="0" topLeftCell="A1">
      <selection activeCell="I18" sqref="I18"/>
    </sheetView>
  </sheetViews>
  <sheetFormatPr defaultColWidth="9.140625" defaultRowHeight="12.75" outlineLevelRow="1"/>
  <cols>
    <col min="1" max="1" width="15.57421875" style="124" customWidth="1"/>
    <col min="2" max="2" width="7.28125" style="124" bestFit="1" customWidth="1"/>
    <col min="3" max="3" width="49.28125" style="124" customWidth="1"/>
    <col min="4" max="4" width="4.7109375" style="124" bestFit="1" customWidth="1"/>
    <col min="5" max="5" width="15.140625" style="124" hidden="1" customWidth="1"/>
    <col min="6" max="6" width="16.421875" style="124" hidden="1" customWidth="1"/>
    <col min="7" max="7" width="11.57421875" style="171" customWidth="1"/>
    <col min="8" max="8" width="11.57421875" style="135" hidden="1" customWidth="1"/>
    <col min="9" max="9" width="13.140625" style="135" customWidth="1"/>
    <col min="10" max="10" width="14.57421875" style="135" hidden="1" customWidth="1"/>
    <col min="11" max="11" width="13.8515625" style="135" hidden="1" customWidth="1"/>
    <col min="12" max="12" width="13.8515625" style="135" customWidth="1"/>
    <col min="13" max="14" width="13.00390625" style="135" customWidth="1"/>
    <col min="15" max="15" width="17.8515625" style="124" customWidth="1"/>
    <col min="16" max="16" width="18.00390625" style="124" customWidth="1"/>
    <col min="17" max="16384" width="9.140625" style="124" customWidth="1"/>
  </cols>
  <sheetData>
    <row r="1" spans="1:14" ht="23.25">
      <c r="A1" s="281" t="s">
        <v>579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136"/>
    </row>
    <row r="2" spans="1:14" ht="23.25">
      <c r="A2" s="282" t="s">
        <v>580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163"/>
    </row>
    <row r="3" spans="1:7" ht="16.5" customHeight="1">
      <c r="A3" s="135"/>
      <c r="B3" s="135"/>
      <c r="C3" s="135"/>
      <c r="D3" s="135"/>
      <c r="E3" s="135"/>
      <c r="F3" s="135"/>
      <c r="G3" s="135"/>
    </row>
    <row r="4" spans="1:14" ht="23.25">
      <c r="A4" s="283" t="s">
        <v>581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5"/>
    </row>
    <row r="5" spans="1:7" ht="6.75" customHeight="1">
      <c r="A5" s="135"/>
      <c r="B5" s="135"/>
      <c r="C5" s="135"/>
      <c r="D5" s="135"/>
      <c r="E5" s="135"/>
      <c r="F5" s="135"/>
      <c r="G5" s="135"/>
    </row>
    <row r="6" spans="1:14" ht="18">
      <c r="A6" s="273" t="s">
        <v>582</v>
      </c>
      <c r="B6" s="274"/>
      <c r="C6" s="274"/>
      <c r="D6" s="274"/>
      <c r="E6" s="274"/>
      <c r="F6" s="274"/>
      <c r="G6" s="274"/>
      <c r="H6" s="275"/>
      <c r="I6" s="286" t="s">
        <v>583</v>
      </c>
      <c r="J6" s="287"/>
      <c r="K6" s="287"/>
      <c r="L6" s="287"/>
      <c r="M6" s="287"/>
      <c r="N6" s="288"/>
    </row>
    <row r="7" spans="1:14" ht="18">
      <c r="A7" s="273" t="s">
        <v>584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5"/>
    </row>
    <row r="8" spans="1:14" ht="15">
      <c r="A8" s="264" t="s">
        <v>585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6"/>
    </row>
    <row r="9" spans="1:14" ht="15">
      <c r="A9" s="271" t="s">
        <v>586</v>
      </c>
      <c r="B9" s="272"/>
      <c r="C9" s="272"/>
      <c r="D9" s="272"/>
      <c r="E9" s="272"/>
      <c r="F9" s="272"/>
      <c r="G9" s="272"/>
      <c r="H9" s="272"/>
      <c r="I9" s="280"/>
      <c r="J9" s="271" t="s">
        <v>587</v>
      </c>
      <c r="K9" s="272"/>
      <c r="L9" s="164" t="s">
        <v>671</v>
      </c>
      <c r="M9" s="276">
        <v>41000</v>
      </c>
      <c r="N9" s="277"/>
    </row>
    <row r="10" spans="1:14" ht="15">
      <c r="A10" s="264" t="s">
        <v>673</v>
      </c>
      <c r="B10" s="265"/>
      <c r="C10" s="265"/>
      <c r="D10" s="265"/>
      <c r="E10" s="265"/>
      <c r="F10" s="266"/>
      <c r="G10" s="259" t="s">
        <v>674</v>
      </c>
      <c r="H10" s="260"/>
      <c r="I10" s="261"/>
      <c r="J10" s="259" t="s">
        <v>675</v>
      </c>
      <c r="K10" s="260"/>
      <c r="L10" s="260"/>
      <c r="M10" s="260"/>
      <c r="N10" s="261"/>
    </row>
    <row r="11" spans="1:14" ht="15">
      <c r="A11" s="264" t="s">
        <v>676</v>
      </c>
      <c r="B11" s="265"/>
      <c r="C11" s="265"/>
      <c r="D11" s="265"/>
      <c r="E11" s="265"/>
      <c r="F11" s="266"/>
      <c r="G11" s="144" t="s">
        <v>588</v>
      </c>
      <c r="H11" s="278">
        <v>41135</v>
      </c>
      <c r="I11" s="279"/>
      <c r="J11" s="165" t="s">
        <v>589</v>
      </c>
      <c r="K11" s="166">
        <v>0.3</v>
      </c>
      <c r="L11" s="166" t="s">
        <v>453</v>
      </c>
      <c r="M11" s="262">
        <v>0.3</v>
      </c>
      <c r="N11" s="263"/>
    </row>
    <row r="12" spans="1:14" ht="12.75">
      <c r="A12" s="167"/>
      <c r="B12" s="167"/>
      <c r="C12" s="167"/>
      <c r="D12" s="167"/>
      <c r="E12" s="167"/>
      <c r="F12" s="168"/>
      <c r="G12" s="167"/>
      <c r="H12" s="169"/>
      <c r="I12" s="170"/>
      <c r="J12" s="170"/>
      <c r="K12" s="169"/>
      <c r="L12" s="169"/>
      <c r="M12" s="169"/>
      <c r="N12" s="169"/>
    </row>
    <row r="13" spans="1:14" ht="15.75" customHeight="1">
      <c r="A13" s="252" t="s">
        <v>590</v>
      </c>
      <c r="B13" s="267" t="s">
        <v>591</v>
      </c>
      <c r="C13" s="269" t="s">
        <v>592</v>
      </c>
      <c r="D13" s="257" t="s">
        <v>593</v>
      </c>
      <c r="E13" s="257" t="s">
        <v>594</v>
      </c>
      <c r="F13" s="252" t="s">
        <v>595</v>
      </c>
      <c r="G13" s="252" t="s">
        <v>596</v>
      </c>
      <c r="H13" s="251" t="s">
        <v>597</v>
      </c>
      <c r="I13" s="251" t="s">
        <v>598</v>
      </c>
      <c r="J13" s="251" t="s">
        <v>599</v>
      </c>
      <c r="K13" s="251" t="s">
        <v>600</v>
      </c>
      <c r="L13" s="251" t="s">
        <v>0</v>
      </c>
      <c r="M13" s="251" t="s">
        <v>1</v>
      </c>
      <c r="N13" s="253" t="s">
        <v>2</v>
      </c>
    </row>
    <row r="14" spans="1:14" ht="35.25" customHeight="1">
      <c r="A14" s="253"/>
      <c r="B14" s="268"/>
      <c r="C14" s="270"/>
      <c r="D14" s="258"/>
      <c r="E14" s="258"/>
      <c r="F14" s="253"/>
      <c r="G14" s="253"/>
      <c r="H14" s="252"/>
      <c r="I14" s="252"/>
      <c r="J14" s="252"/>
      <c r="K14" s="252"/>
      <c r="L14" s="252"/>
      <c r="M14" s="252"/>
      <c r="N14" s="253"/>
    </row>
    <row r="15" spans="1:14" ht="12.75">
      <c r="A15" s="171"/>
      <c r="B15" s="1">
        <v>1</v>
      </c>
      <c r="C15" s="2" t="s">
        <v>3</v>
      </c>
      <c r="D15" s="3" t="s">
        <v>4</v>
      </c>
      <c r="E15" s="4" t="s">
        <v>4</v>
      </c>
      <c r="F15" s="172"/>
      <c r="G15" s="173"/>
      <c r="H15" s="173"/>
      <c r="I15" s="173"/>
      <c r="J15" s="173"/>
      <c r="K15" s="173"/>
      <c r="L15" s="173"/>
      <c r="M15" s="173"/>
      <c r="N15" s="174"/>
    </row>
    <row r="16" spans="1:14" ht="12.75" outlineLevel="1">
      <c r="A16" s="171"/>
      <c r="B16" s="5" t="s">
        <v>5</v>
      </c>
      <c r="C16" s="6" t="s">
        <v>6</v>
      </c>
      <c r="D16" s="7" t="s">
        <v>7</v>
      </c>
      <c r="E16" s="8">
        <f>24*52</f>
        <v>1248</v>
      </c>
      <c r="F16" s="175">
        <v>1248</v>
      </c>
      <c r="G16" s="174"/>
      <c r="H16" s="8">
        <v>0.1</v>
      </c>
      <c r="I16" s="174"/>
      <c r="J16" s="174">
        <f>E16*H16</f>
        <v>124.80000000000001</v>
      </c>
      <c r="K16" s="174">
        <f>F16*H16</f>
        <v>124.80000000000001</v>
      </c>
      <c r="L16" s="174"/>
      <c r="M16" s="174"/>
      <c r="N16" s="174"/>
    </row>
    <row r="17" spans="1:14" ht="12.75" outlineLevel="1">
      <c r="A17" s="171"/>
      <c r="B17" s="5" t="s">
        <v>8</v>
      </c>
      <c r="C17" s="9" t="s">
        <v>9</v>
      </c>
      <c r="D17" s="7" t="s">
        <v>10</v>
      </c>
      <c r="E17" s="8">
        <v>234</v>
      </c>
      <c r="F17" s="176">
        <v>234</v>
      </c>
      <c r="G17" s="174"/>
      <c r="H17" s="8">
        <v>0.6</v>
      </c>
      <c r="I17" s="174"/>
      <c r="J17" s="174">
        <f aca="true" t="shared" si="0" ref="J17:J45">E17*H17</f>
        <v>140.4</v>
      </c>
      <c r="K17" s="174">
        <f aca="true" t="shared" si="1" ref="K17:K84">F17*H17</f>
        <v>140.4</v>
      </c>
      <c r="L17" s="174"/>
      <c r="M17" s="174"/>
      <c r="N17" s="174"/>
    </row>
    <row r="18" spans="1:14" ht="25.5" outlineLevel="1">
      <c r="A18" s="171"/>
      <c r="B18" s="5" t="s">
        <v>11</v>
      </c>
      <c r="C18" s="10" t="s">
        <v>12</v>
      </c>
      <c r="D18" s="7" t="s">
        <v>10</v>
      </c>
      <c r="E18" s="8">
        <v>234</v>
      </c>
      <c r="F18" s="175">
        <v>234</v>
      </c>
      <c r="G18" s="174"/>
      <c r="H18" s="8">
        <v>0.7</v>
      </c>
      <c r="I18" s="174"/>
      <c r="J18" s="174">
        <f t="shared" si="0"/>
        <v>163.79999999999998</v>
      </c>
      <c r="K18" s="174">
        <f t="shared" si="1"/>
        <v>163.79999999999998</v>
      </c>
      <c r="L18" s="174"/>
      <c r="M18" s="174"/>
      <c r="N18" s="174"/>
    </row>
    <row r="19" spans="1:15" ht="51" outlineLevel="1">
      <c r="A19" s="171" t="s">
        <v>13</v>
      </c>
      <c r="B19" s="5" t="s">
        <v>14</v>
      </c>
      <c r="C19" s="11" t="s">
        <v>15</v>
      </c>
      <c r="D19" s="12" t="s">
        <v>16</v>
      </c>
      <c r="E19" s="13">
        <v>25.41</v>
      </c>
      <c r="F19" s="175">
        <v>0</v>
      </c>
      <c r="G19" s="174">
        <v>25.41</v>
      </c>
      <c r="H19" s="8">
        <v>98</v>
      </c>
      <c r="I19" s="174">
        <v>130.04</v>
      </c>
      <c r="J19" s="174">
        <f>H19*E19</f>
        <v>2490.18</v>
      </c>
      <c r="K19" s="174">
        <f t="shared" si="1"/>
        <v>0</v>
      </c>
      <c r="L19" s="174">
        <f>I19*(1+$M$11)</f>
        <v>169.052</v>
      </c>
      <c r="M19" s="174">
        <f>G19*I19</f>
        <v>3304.3163999999997</v>
      </c>
      <c r="N19" s="174">
        <f>G19*L19</f>
        <v>4295.61132</v>
      </c>
      <c r="O19" s="177"/>
    </row>
    <row r="20" spans="1:14" ht="25.5" outlineLevel="1">
      <c r="A20" s="171"/>
      <c r="B20" s="5" t="s">
        <v>17</v>
      </c>
      <c r="C20" s="14" t="s">
        <v>18</v>
      </c>
      <c r="D20" s="12" t="s">
        <v>19</v>
      </c>
      <c r="E20" s="15">
        <v>1</v>
      </c>
      <c r="F20" s="175">
        <v>1</v>
      </c>
      <c r="G20" s="174"/>
      <c r="H20" s="8"/>
      <c r="I20" s="174"/>
      <c r="J20" s="174"/>
      <c r="K20" s="174"/>
      <c r="L20" s="174"/>
      <c r="M20" s="174"/>
      <c r="N20" s="174"/>
    </row>
    <row r="21" spans="1:14" ht="12.75" outlineLevel="1">
      <c r="A21" s="171"/>
      <c r="B21" s="5" t="s">
        <v>20</v>
      </c>
      <c r="C21" s="10" t="s">
        <v>21</v>
      </c>
      <c r="D21" s="16" t="s">
        <v>16</v>
      </c>
      <c r="E21" s="13">
        <v>3</v>
      </c>
      <c r="F21" s="175">
        <v>3</v>
      </c>
      <c r="G21" s="174">
        <v>3</v>
      </c>
      <c r="H21" s="8">
        <v>145</v>
      </c>
      <c r="I21" s="174">
        <v>230</v>
      </c>
      <c r="J21" s="174">
        <f t="shared" si="0"/>
        <v>435</v>
      </c>
      <c r="K21" s="174">
        <f t="shared" si="1"/>
        <v>435</v>
      </c>
      <c r="L21" s="174">
        <f>I21*(1+$M$11)</f>
        <v>299</v>
      </c>
      <c r="M21" s="174">
        <f>G21*I21</f>
        <v>690</v>
      </c>
      <c r="N21" s="174">
        <f>G21*L21</f>
        <v>897</v>
      </c>
    </row>
    <row r="22" spans="1:14" ht="12.75" outlineLevel="1">
      <c r="A22" s="171"/>
      <c r="B22" s="5" t="s">
        <v>22</v>
      </c>
      <c r="C22" s="17" t="s">
        <v>23</v>
      </c>
      <c r="D22" s="18" t="s">
        <v>7</v>
      </c>
      <c r="E22" s="8">
        <v>608.2</v>
      </c>
      <c r="F22" s="175">
        <v>608.2</v>
      </c>
      <c r="G22" s="174"/>
      <c r="H22" s="8"/>
      <c r="I22" s="174"/>
      <c r="J22" s="174"/>
      <c r="K22" s="174"/>
      <c r="L22" s="174"/>
      <c r="M22" s="174"/>
      <c r="N22" s="174"/>
    </row>
    <row r="23" spans="1:15" s="181" customFormat="1" ht="15.75">
      <c r="A23" s="178"/>
      <c r="B23" s="19"/>
      <c r="C23" s="20" t="s">
        <v>24</v>
      </c>
      <c r="D23" s="21"/>
      <c r="E23" s="22"/>
      <c r="F23" s="25"/>
      <c r="G23" s="179"/>
      <c r="H23" s="179"/>
      <c r="I23" s="179"/>
      <c r="J23" s="179">
        <f>SUM(J16:J22)</f>
        <v>3354.18</v>
      </c>
      <c r="K23" s="179">
        <f>SUM(K16:K22)</f>
        <v>864</v>
      </c>
      <c r="L23" s="179"/>
      <c r="M23" s="179">
        <f>SUM(M16:M22)</f>
        <v>3994.3163999999997</v>
      </c>
      <c r="N23" s="179">
        <f>SUM(N16:N22)</f>
        <v>5192.61132</v>
      </c>
      <c r="O23" s="180">
        <f>M23*1.25</f>
        <v>4992.8955</v>
      </c>
    </row>
    <row r="24" spans="1:14" ht="12.75">
      <c r="A24" s="171"/>
      <c r="B24" s="23"/>
      <c r="C24" s="24"/>
      <c r="D24" s="18"/>
      <c r="E24" s="25"/>
      <c r="F24" s="175"/>
      <c r="G24" s="174"/>
      <c r="H24" s="174"/>
      <c r="I24" s="174"/>
      <c r="J24" s="174"/>
      <c r="K24" s="174"/>
      <c r="L24" s="174"/>
      <c r="M24" s="174"/>
      <c r="N24" s="174"/>
    </row>
    <row r="25" spans="1:14" ht="12.75">
      <c r="A25" s="171"/>
      <c r="B25" s="26">
        <v>2</v>
      </c>
      <c r="C25" s="27" t="s">
        <v>25</v>
      </c>
      <c r="D25" s="28"/>
      <c r="E25" s="25"/>
      <c r="F25" s="175"/>
      <c r="G25" s="174"/>
      <c r="H25" s="174"/>
      <c r="I25" s="174"/>
      <c r="J25" s="174"/>
      <c r="K25" s="174">
        <f t="shared" si="1"/>
        <v>0</v>
      </c>
      <c r="L25" s="174"/>
      <c r="M25" s="174"/>
      <c r="N25" s="174"/>
    </row>
    <row r="26" spans="1:14" ht="12.75" hidden="1">
      <c r="A26" s="171"/>
      <c r="B26" s="29" t="s">
        <v>26</v>
      </c>
      <c r="C26" s="30" t="s">
        <v>27</v>
      </c>
      <c r="D26" s="31" t="s">
        <v>28</v>
      </c>
      <c r="E26" s="8">
        <v>415</v>
      </c>
      <c r="F26" s="175">
        <v>415</v>
      </c>
      <c r="G26" s="174">
        <f aca="true" t="shared" si="2" ref="G26:G45">E26-F26</f>
        <v>0</v>
      </c>
      <c r="H26" s="8">
        <v>32</v>
      </c>
      <c r="I26" s="174"/>
      <c r="J26" s="174">
        <f t="shared" si="0"/>
        <v>13280</v>
      </c>
      <c r="K26" s="174">
        <f t="shared" si="1"/>
        <v>13280</v>
      </c>
      <c r="L26" s="174"/>
      <c r="M26" s="174"/>
      <c r="N26" s="174"/>
    </row>
    <row r="27" spans="1:14" ht="12.75" hidden="1">
      <c r="A27" s="171"/>
      <c r="B27" s="29" t="s">
        <v>29</v>
      </c>
      <c r="C27" s="32" t="s">
        <v>30</v>
      </c>
      <c r="D27" s="31" t="s">
        <v>10</v>
      </c>
      <c r="E27" s="8">
        <v>96</v>
      </c>
      <c r="F27" s="175">
        <v>96</v>
      </c>
      <c r="G27" s="174">
        <f t="shared" si="2"/>
        <v>0</v>
      </c>
      <c r="H27" s="8">
        <v>14.5</v>
      </c>
      <c r="I27" s="174"/>
      <c r="J27" s="174">
        <f t="shared" si="0"/>
        <v>1392</v>
      </c>
      <c r="K27" s="174">
        <f t="shared" si="1"/>
        <v>1392</v>
      </c>
      <c r="L27" s="174"/>
      <c r="M27" s="174"/>
      <c r="N27" s="174"/>
    </row>
    <row r="28" spans="1:14" ht="12.75" hidden="1">
      <c r="A28" s="171"/>
      <c r="B28" s="29" t="s">
        <v>31</v>
      </c>
      <c r="C28" s="32" t="s">
        <v>32</v>
      </c>
      <c r="D28" s="31" t="s">
        <v>7</v>
      </c>
      <c r="E28" s="8">
        <v>164</v>
      </c>
      <c r="F28" s="175">
        <v>164</v>
      </c>
      <c r="G28" s="174">
        <f t="shared" si="2"/>
        <v>0</v>
      </c>
      <c r="H28" s="8">
        <v>5.2</v>
      </c>
      <c r="I28" s="174"/>
      <c r="J28" s="174">
        <f t="shared" si="0"/>
        <v>852.8000000000001</v>
      </c>
      <c r="K28" s="174">
        <f t="shared" si="1"/>
        <v>852.8000000000001</v>
      </c>
      <c r="L28" s="174"/>
      <c r="M28" s="174"/>
      <c r="N28" s="174"/>
    </row>
    <row r="29" spans="1:14" ht="25.5" hidden="1">
      <c r="A29" s="171"/>
      <c r="B29" s="29" t="s">
        <v>33</v>
      </c>
      <c r="C29" s="33" t="s">
        <v>34</v>
      </c>
      <c r="D29" s="31" t="s">
        <v>7</v>
      </c>
      <c r="E29" s="8">
        <v>164</v>
      </c>
      <c r="F29" s="175">
        <v>164</v>
      </c>
      <c r="G29" s="174">
        <f t="shared" si="2"/>
        <v>0</v>
      </c>
      <c r="H29" s="8">
        <v>15.9</v>
      </c>
      <c r="I29" s="174"/>
      <c r="J29" s="174">
        <f t="shared" si="0"/>
        <v>2607.6</v>
      </c>
      <c r="K29" s="174">
        <f t="shared" si="1"/>
        <v>2607.6</v>
      </c>
      <c r="L29" s="174"/>
      <c r="M29" s="174"/>
      <c r="N29" s="174"/>
    </row>
    <row r="30" spans="1:14" ht="25.5" hidden="1">
      <c r="A30" s="171"/>
      <c r="B30" s="29" t="s">
        <v>35</v>
      </c>
      <c r="C30" s="33" t="s">
        <v>36</v>
      </c>
      <c r="D30" s="31" t="s">
        <v>7</v>
      </c>
      <c r="E30" s="8">
        <v>282</v>
      </c>
      <c r="F30" s="175">
        <v>282</v>
      </c>
      <c r="G30" s="174">
        <f t="shared" si="2"/>
        <v>0</v>
      </c>
      <c r="H30" s="8">
        <v>19.3</v>
      </c>
      <c r="I30" s="174"/>
      <c r="J30" s="174">
        <f t="shared" si="0"/>
        <v>5442.6</v>
      </c>
      <c r="K30" s="174">
        <f t="shared" si="1"/>
        <v>5442.6</v>
      </c>
      <c r="L30" s="174"/>
      <c r="M30" s="174"/>
      <c r="N30" s="174"/>
    </row>
    <row r="31" spans="1:14" ht="12.75" hidden="1">
      <c r="A31" s="171"/>
      <c r="B31" s="29" t="s">
        <v>37</v>
      </c>
      <c r="C31" s="33" t="s">
        <v>38</v>
      </c>
      <c r="D31" s="31" t="s">
        <v>10</v>
      </c>
      <c r="E31" s="8">
        <v>28</v>
      </c>
      <c r="F31" s="175">
        <v>28</v>
      </c>
      <c r="G31" s="174">
        <f t="shared" si="2"/>
        <v>0</v>
      </c>
      <c r="H31" s="8">
        <v>250</v>
      </c>
      <c r="I31" s="174"/>
      <c r="J31" s="174">
        <f t="shared" si="0"/>
        <v>7000</v>
      </c>
      <c r="K31" s="174">
        <f t="shared" si="1"/>
        <v>7000</v>
      </c>
      <c r="L31" s="174"/>
      <c r="M31" s="174"/>
      <c r="N31" s="174"/>
    </row>
    <row r="32" spans="1:14" ht="25.5" hidden="1">
      <c r="A32" s="171"/>
      <c r="B32" s="29" t="s">
        <v>39</v>
      </c>
      <c r="C32" s="33" t="s">
        <v>40</v>
      </c>
      <c r="D32" s="31" t="s">
        <v>41</v>
      </c>
      <c r="E32" s="8">
        <v>4372</v>
      </c>
      <c r="F32" s="175">
        <v>4372</v>
      </c>
      <c r="G32" s="174">
        <f t="shared" si="2"/>
        <v>0</v>
      </c>
      <c r="H32" s="8">
        <v>6.1</v>
      </c>
      <c r="I32" s="174"/>
      <c r="J32" s="174">
        <f t="shared" si="0"/>
        <v>26669.199999999997</v>
      </c>
      <c r="K32" s="174">
        <f t="shared" si="1"/>
        <v>26669.199999999997</v>
      </c>
      <c r="L32" s="174"/>
      <c r="M32" s="174"/>
      <c r="N32" s="174"/>
    </row>
    <row r="33" spans="1:14" ht="12.75" hidden="1">
      <c r="A33" s="171"/>
      <c r="B33" s="29" t="s">
        <v>42</v>
      </c>
      <c r="C33" s="33" t="s">
        <v>43</v>
      </c>
      <c r="D33" s="31" t="s">
        <v>10</v>
      </c>
      <c r="E33" s="8">
        <v>15</v>
      </c>
      <c r="F33" s="175">
        <v>15</v>
      </c>
      <c r="G33" s="174">
        <f t="shared" si="2"/>
        <v>0</v>
      </c>
      <c r="H33" s="8">
        <v>307</v>
      </c>
      <c r="I33" s="174"/>
      <c r="J33" s="174">
        <f t="shared" si="0"/>
        <v>4605</v>
      </c>
      <c r="K33" s="174">
        <f t="shared" si="1"/>
        <v>4605</v>
      </c>
      <c r="L33" s="174"/>
      <c r="M33" s="174"/>
      <c r="N33" s="174"/>
    </row>
    <row r="34" spans="1:14" ht="38.25" hidden="1">
      <c r="A34" s="171"/>
      <c r="B34" s="29" t="s">
        <v>44</v>
      </c>
      <c r="C34" s="33" t="s">
        <v>45</v>
      </c>
      <c r="D34" s="31" t="s">
        <v>7</v>
      </c>
      <c r="E34" s="8">
        <v>236</v>
      </c>
      <c r="F34" s="175">
        <v>236</v>
      </c>
      <c r="G34" s="174">
        <f t="shared" si="2"/>
        <v>0</v>
      </c>
      <c r="H34" s="8">
        <v>17.5</v>
      </c>
      <c r="I34" s="174"/>
      <c r="J34" s="174">
        <f t="shared" si="0"/>
        <v>4130</v>
      </c>
      <c r="K34" s="174">
        <f t="shared" si="1"/>
        <v>4130</v>
      </c>
      <c r="L34" s="174"/>
      <c r="M34" s="174"/>
      <c r="N34" s="174"/>
    </row>
    <row r="35" spans="1:14" ht="12.75" hidden="1">
      <c r="A35" s="171"/>
      <c r="B35" s="29" t="s">
        <v>46</v>
      </c>
      <c r="C35" s="32" t="s">
        <v>47</v>
      </c>
      <c r="D35" s="31" t="s">
        <v>10</v>
      </c>
      <c r="E35" s="8">
        <v>45</v>
      </c>
      <c r="F35" s="175">
        <v>45</v>
      </c>
      <c r="G35" s="174">
        <f t="shared" si="2"/>
        <v>0</v>
      </c>
      <c r="H35" s="8">
        <v>13</v>
      </c>
      <c r="I35" s="174"/>
      <c r="J35" s="174">
        <f t="shared" si="0"/>
        <v>585</v>
      </c>
      <c r="K35" s="174">
        <f>F35*H35</f>
        <v>585</v>
      </c>
      <c r="L35" s="174"/>
      <c r="M35" s="174"/>
      <c r="N35" s="174"/>
    </row>
    <row r="36" spans="1:14" s="181" customFormat="1" ht="15.75">
      <c r="A36" s="178"/>
      <c r="B36" s="19"/>
      <c r="C36" s="20" t="s">
        <v>48</v>
      </c>
      <c r="D36" s="34"/>
      <c r="E36" s="22"/>
      <c r="F36" s="25"/>
      <c r="G36" s="179"/>
      <c r="H36" s="179"/>
      <c r="I36" s="179"/>
      <c r="J36" s="179">
        <f>SUM(J26:J35)</f>
        <v>66564.2</v>
      </c>
      <c r="K36" s="179">
        <f>SUM(K26:K35)</f>
        <v>66564.2</v>
      </c>
      <c r="L36" s="179"/>
      <c r="M36" s="179"/>
      <c r="N36" s="179"/>
    </row>
    <row r="37" spans="1:14" ht="12.75">
      <c r="A37" s="171"/>
      <c r="B37" s="29" t="s">
        <v>4</v>
      </c>
      <c r="C37" s="32"/>
      <c r="D37" s="31"/>
      <c r="E37" s="35"/>
      <c r="F37" s="175"/>
      <c r="G37" s="174"/>
      <c r="H37" s="174"/>
      <c r="I37" s="174"/>
      <c r="J37" s="174"/>
      <c r="K37" s="174"/>
      <c r="L37" s="174"/>
      <c r="M37" s="174"/>
      <c r="N37" s="174"/>
    </row>
    <row r="38" spans="1:14" ht="12.75">
      <c r="A38" s="171"/>
      <c r="B38" s="26">
        <v>3</v>
      </c>
      <c r="C38" s="27" t="s">
        <v>49</v>
      </c>
      <c r="D38" s="28"/>
      <c r="E38" s="36"/>
      <c r="F38" s="175"/>
      <c r="G38" s="174"/>
      <c r="H38" s="174"/>
      <c r="I38" s="174"/>
      <c r="J38" s="174"/>
      <c r="K38" s="174"/>
      <c r="L38" s="174"/>
      <c r="M38" s="174"/>
      <c r="N38" s="174"/>
    </row>
    <row r="39" spans="1:14" ht="25.5" hidden="1">
      <c r="A39" s="171"/>
      <c r="B39" s="37" t="s">
        <v>50</v>
      </c>
      <c r="C39" s="38" t="s">
        <v>51</v>
      </c>
      <c r="D39" s="39" t="s">
        <v>7</v>
      </c>
      <c r="E39" s="8">
        <v>37</v>
      </c>
      <c r="F39" s="175">
        <v>37</v>
      </c>
      <c r="G39" s="174">
        <f t="shared" si="2"/>
        <v>0</v>
      </c>
      <c r="H39" s="8">
        <v>37</v>
      </c>
      <c r="I39" s="174"/>
      <c r="J39" s="174">
        <f t="shared" si="0"/>
        <v>1369</v>
      </c>
      <c r="K39" s="174">
        <f t="shared" si="1"/>
        <v>1369</v>
      </c>
      <c r="L39" s="174"/>
      <c r="M39" s="174"/>
      <c r="N39" s="174"/>
    </row>
    <row r="40" spans="1:14" ht="25.5" hidden="1">
      <c r="A40" s="171"/>
      <c r="B40" s="37" t="s">
        <v>52</v>
      </c>
      <c r="C40" s="38" t="s">
        <v>53</v>
      </c>
      <c r="D40" s="39" t="s">
        <v>7</v>
      </c>
      <c r="E40" s="8">
        <v>234</v>
      </c>
      <c r="F40" s="175">
        <v>234</v>
      </c>
      <c r="G40" s="174">
        <f t="shared" si="2"/>
        <v>0</v>
      </c>
      <c r="H40" s="8">
        <v>48</v>
      </c>
      <c r="I40" s="174"/>
      <c r="J40" s="174">
        <f t="shared" si="0"/>
        <v>11232</v>
      </c>
      <c r="K40" s="174">
        <f t="shared" si="1"/>
        <v>11232</v>
      </c>
      <c r="L40" s="174"/>
      <c r="M40" s="174"/>
      <c r="N40" s="174"/>
    </row>
    <row r="41" spans="1:14" ht="25.5" hidden="1">
      <c r="A41" s="171"/>
      <c r="B41" s="37" t="s">
        <v>54</v>
      </c>
      <c r="C41" s="38" t="s">
        <v>55</v>
      </c>
      <c r="D41" s="39" t="s">
        <v>7</v>
      </c>
      <c r="E41" s="8">
        <v>242</v>
      </c>
      <c r="F41" s="175">
        <v>242</v>
      </c>
      <c r="G41" s="174">
        <f t="shared" si="2"/>
        <v>0</v>
      </c>
      <c r="H41" s="8">
        <v>65</v>
      </c>
      <c r="I41" s="174"/>
      <c r="J41" s="174">
        <f t="shared" si="0"/>
        <v>15730</v>
      </c>
      <c r="K41" s="174">
        <f t="shared" si="1"/>
        <v>15730</v>
      </c>
      <c r="L41" s="174"/>
      <c r="M41" s="174"/>
      <c r="N41" s="174"/>
    </row>
    <row r="42" spans="1:14" ht="25.5" hidden="1">
      <c r="A42" s="171"/>
      <c r="B42" s="37" t="s">
        <v>56</v>
      </c>
      <c r="C42" s="38" t="s">
        <v>57</v>
      </c>
      <c r="D42" s="39" t="s">
        <v>7</v>
      </c>
      <c r="E42" s="8">
        <v>40</v>
      </c>
      <c r="F42" s="175">
        <v>40</v>
      </c>
      <c r="G42" s="174">
        <f t="shared" si="2"/>
        <v>0</v>
      </c>
      <c r="H42" s="8">
        <v>84.5</v>
      </c>
      <c r="I42" s="174"/>
      <c r="J42" s="174">
        <f t="shared" si="0"/>
        <v>3380</v>
      </c>
      <c r="K42" s="174">
        <f t="shared" si="1"/>
        <v>3380</v>
      </c>
      <c r="L42" s="174"/>
      <c r="M42" s="174"/>
      <c r="N42" s="174"/>
    </row>
    <row r="43" spans="1:14" ht="12.75" hidden="1">
      <c r="A43" s="171"/>
      <c r="B43" s="37" t="s">
        <v>58</v>
      </c>
      <c r="C43" s="30" t="s">
        <v>59</v>
      </c>
      <c r="D43" s="31" t="s">
        <v>10</v>
      </c>
      <c r="E43" s="8">
        <v>36</v>
      </c>
      <c r="F43" s="175">
        <v>36</v>
      </c>
      <c r="G43" s="174">
        <f t="shared" si="2"/>
        <v>0</v>
      </c>
      <c r="H43" s="8">
        <v>250</v>
      </c>
      <c r="I43" s="174"/>
      <c r="J43" s="174">
        <f t="shared" si="0"/>
        <v>9000</v>
      </c>
      <c r="K43" s="174">
        <f t="shared" si="1"/>
        <v>9000</v>
      </c>
      <c r="L43" s="174"/>
      <c r="M43" s="174"/>
      <c r="N43" s="174"/>
    </row>
    <row r="44" spans="1:14" ht="25.5" hidden="1">
      <c r="A44" s="171"/>
      <c r="B44" s="37" t="s">
        <v>60</v>
      </c>
      <c r="C44" s="40" t="s">
        <v>61</v>
      </c>
      <c r="D44" s="31" t="s">
        <v>7</v>
      </c>
      <c r="E44" s="8">
        <v>516</v>
      </c>
      <c r="F44" s="175">
        <v>516</v>
      </c>
      <c r="G44" s="174">
        <f t="shared" si="2"/>
        <v>0</v>
      </c>
      <c r="H44" s="8">
        <v>30.56</v>
      </c>
      <c r="I44" s="174"/>
      <c r="J44" s="174">
        <f t="shared" si="0"/>
        <v>15768.96</v>
      </c>
      <c r="K44" s="174">
        <f t="shared" si="1"/>
        <v>15768.96</v>
      </c>
      <c r="L44" s="174"/>
      <c r="M44" s="174"/>
      <c r="N44" s="174"/>
    </row>
    <row r="45" spans="1:14" ht="12.75" hidden="1">
      <c r="A45" s="171"/>
      <c r="B45" s="37" t="s">
        <v>62</v>
      </c>
      <c r="C45" s="41" t="s">
        <v>63</v>
      </c>
      <c r="D45" s="31" t="s">
        <v>10</v>
      </c>
      <c r="E45" s="8">
        <v>3</v>
      </c>
      <c r="F45" s="175">
        <v>3</v>
      </c>
      <c r="G45" s="174">
        <f t="shared" si="2"/>
        <v>0</v>
      </c>
      <c r="H45" s="8">
        <v>759.7</v>
      </c>
      <c r="I45" s="174"/>
      <c r="J45" s="174">
        <f t="shared" si="0"/>
        <v>2279.1000000000004</v>
      </c>
      <c r="K45" s="174">
        <f t="shared" si="1"/>
        <v>2279.1000000000004</v>
      </c>
      <c r="L45" s="174"/>
      <c r="M45" s="174"/>
      <c r="N45" s="174"/>
    </row>
    <row r="46" spans="1:14" s="181" customFormat="1" ht="15.75">
      <c r="A46" s="178"/>
      <c r="B46" s="19"/>
      <c r="C46" s="20" t="s">
        <v>64</v>
      </c>
      <c r="D46" s="34"/>
      <c r="E46" s="22"/>
      <c r="F46" s="25"/>
      <c r="G46" s="179"/>
      <c r="H46" s="179"/>
      <c r="I46" s="179"/>
      <c r="J46" s="179">
        <f>SUM(J39:J45)</f>
        <v>58759.06</v>
      </c>
      <c r="K46" s="179">
        <f>SUM(K39:K45)</f>
        <v>58759.06</v>
      </c>
      <c r="L46" s="179"/>
      <c r="M46" s="179"/>
      <c r="N46" s="179"/>
    </row>
    <row r="47" spans="1:14" ht="12.75">
      <c r="A47" s="171"/>
      <c r="B47" s="23"/>
      <c r="C47" s="24"/>
      <c r="D47" s="42"/>
      <c r="E47" s="36"/>
      <c r="F47" s="175"/>
      <c r="G47" s="174"/>
      <c r="H47" s="174"/>
      <c r="I47" s="174"/>
      <c r="J47" s="174"/>
      <c r="K47" s="174"/>
      <c r="L47" s="174"/>
      <c r="M47" s="174"/>
      <c r="N47" s="174"/>
    </row>
    <row r="48" spans="1:14" ht="12.75">
      <c r="A48" s="171"/>
      <c r="B48" s="26">
        <v>4</v>
      </c>
      <c r="C48" s="27" t="s">
        <v>65</v>
      </c>
      <c r="D48" s="28"/>
      <c r="E48" s="43"/>
      <c r="F48" s="175"/>
      <c r="G48" s="174"/>
      <c r="H48" s="174"/>
      <c r="I48" s="174"/>
      <c r="J48" s="174"/>
      <c r="K48" s="174"/>
      <c r="L48" s="174"/>
      <c r="M48" s="174"/>
      <c r="N48" s="174"/>
    </row>
    <row r="49" spans="1:14" ht="12.75" hidden="1">
      <c r="A49" s="171"/>
      <c r="B49" s="29" t="s">
        <v>66</v>
      </c>
      <c r="C49" s="32" t="s">
        <v>67</v>
      </c>
      <c r="D49" s="31" t="s">
        <v>7</v>
      </c>
      <c r="E49" s="35">
        <v>412</v>
      </c>
      <c r="F49" s="175">
        <v>412</v>
      </c>
      <c r="G49" s="174">
        <f aca="true" t="shared" si="3" ref="G49:G83">E49-F49</f>
        <v>0</v>
      </c>
      <c r="H49" s="8">
        <v>16</v>
      </c>
      <c r="I49" s="174"/>
      <c r="J49" s="174">
        <f>E49*H49</f>
        <v>6592</v>
      </c>
      <c r="K49" s="174">
        <f t="shared" si="1"/>
        <v>6592</v>
      </c>
      <c r="L49" s="174"/>
      <c r="M49" s="174">
        <f>G49*I49</f>
        <v>0</v>
      </c>
      <c r="N49" s="174"/>
    </row>
    <row r="50" spans="1:14" ht="12.75" hidden="1">
      <c r="A50" s="171"/>
      <c r="B50" s="29" t="s">
        <v>68</v>
      </c>
      <c r="C50" s="17" t="s">
        <v>69</v>
      </c>
      <c r="D50" s="39" t="s">
        <v>7</v>
      </c>
      <c r="E50" s="35">
        <v>805</v>
      </c>
      <c r="F50" s="175">
        <v>805</v>
      </c>
      <c r="G50" s="174">
        <f t="shared" si="3"/>
        <v>0</v>
      </c>
      <c r="H50" s="8">
        <v>28</v>
      </c>
      <c r="I50" s="174"/>
      <c r="J50" s="174">
        <f>E50*H50</f>
        <v>22540</v>
      </c>
      <c r="K50" s="174">
        <f t="shared" si="1"/>
        <v>22540</v>
      </c>
      <c r="L50" s="174"/>
      <c r="M50" s="174">
        <f>G50*I50</f>
        <v>0</v>
      </c>
      <c r="N50" s="174"/>
    </row>
    <row r="51" spans="1:14" ht="12.75">
      <c r="A51" s="171" t="s">
        <v>70</v>
      </c>
      <c r="B51" s="29" t="s">
        <v>474</v>
      </c>
      <c r="C51" s="33" t="s">
        <v>71</v>
      </c>
      <c r="D51" s="31" t="s">
        <v>7</v>
      </c>
      <c r="E51" s="45">
        <v>16</v>
      </c>
      <c r="F51" s="175">
        <v>0</v>
      </c>
      <c r="G51" s="174">
        <f t="shared" si="3"/>
        <v>16</v>
      </c>
      <c r="H51" s="8">
        <v>176.9</v>
      </c>
      <c r="I51" s="8">
        <v>350</v>
      </c>
      <c r="J51" s="174">
        <f>E51*H51</f>
        <v>2830.4</v>
      </c>
      <c r="K51" s="174">
        <f>F51*H51</f>
        <v>0</v>
      </c>
      <c r="L51" s="174">
        <f>I51*(1+$M$11)</f>
        <v>455</v>
      </c>
      <c r="M51" s="174">
        <f>G51*I51</f>
        <v>5600</v>
      </c>
      <c r="N51" s="174">
        <f>G51*L51</f>
        <v>7280</v>
      </c>
    </row>
    <row r="52" spans="1:15" s="181" customFormat="1" ht="15.75">
      <c r="A52" s="178"/>
      <c r="B52" s="19"/>
      <c r="C52" s="20" t="s">
        <v>72</v>
      </c>
      <c r="D52" s="34"/>
      <c r="E52" s="44"/>
      <c r="F52" s="25"/>
      <c r="G52" s="179"/>
      <c r="H52" s="179"/>
      <c r="I52" s="179"/>
      <c r="J52" s="179">
        <f>SUM(J49:J51)</f>
        <v>31962.4</v>
      </c>
      <c r="K52" s="179">
        <f>SUM(K49:K51)</f>
        <v>29132</v>
      </c>
      <c r="L52" s="179"/>
      <c r="M52" s="179">
        <f>SUM(M49:M51)</f>
        <v>5600</v>
      </c>
      <c r="N52" s="179">
        <f>SUM(N49:N51)</f>
        <v>7280</v>
      </c>
      <c r="O52" s="180"/>
    </row>
    <row r="53" spans="1:14" ht="12.75">
      <c r="A53" s="171"/>
      <c r="B53" s="5"/>
      <c r="C53" s="39"/>
      <c r="D53" s="39"/>
      <c r="E53" s="45"/>
      <c r="F53" s="175"/>
      <c r="G53" s="174"/>
      <c r="H53" s="174"/>
      <c r="I53" s="174"/>
      <c r="J53" s="174"/>
      <c r="K53" s="174"/>
      <c r="L53" s="174"/>
      <c r="M53" s="174"/>
      <c r="N53" s="174"/>
    </row>
    <row r="54" spans="1:14" s="181" customFormat="1" ht="15.75">
      <c r="A54" s="178"/>
      <c r="B54" s="23">
        <v>5</v>
      </c>
      <c r="C54" s="27" t="s">
        <v>73</v>
      </c>
      <c r="D54" s="39"/>
      <c r="E54" s="45"/>
      <c r="F54" s="175"/>
      <c r="G54" s="174"/>
      <c r="H54" s="174"/>
      <c r="I54" s="174"/>
      <c r="J54" s="174"/>
      <c r="K54" s="174"/>
      <c r="L54" s="174"/>
      <c r="M54" s="174"/>
      <c r="N54" s="174"/>
    </row>
    <row r="55" spans="1:14" s="181" customFormat="1" ht="25.5">
      <c r="A55" s="183"/>
      <c r="B55" s="37" t="s">
        <v>74</v>
      </c>
      <c r="C55" s="46" t="s">
        <v>75</v>
      </c>
      <c r="D55" s="39"/>
      <c r="E55" s="45"/>
      <c r="F55" s="175"/>
      <c r="G55" s="174"/>
      <c r="H55" s="174"/>
      <c r="I55" s="174"/>
      <c r="J55" s="174"/>
      <c r="K55" s="174"/>
      <c r="L55" s="174"/>
      <c r="M55" s="174"/>
      <c r="N55" s="174"/>
    </row>
    <row r="56" spans="1:14" s="181" customFormat="1" ht="15.75">
      <c r="A56" s="183" t="s">
        <v>466</v>
      </c>
      <c r="B56" s="37"/>
      <c r="C56" s="47" t="s">
        <v>76</v>
      </c>
      <c r="D56" s="39" t="s">
        <v>77</v>
      </c>
      <c r="E56" s="45">
        <v>2</v>
      </c>
      <c r="F56" s="175"/>
      <c r="G56" s="174">
        <f>E56-F56</f>
        <v>2</v>
      </c>
      <c r="H56" s="8">
        <v>267</v>
      </c>
      <c r="I56" s="174">
        <v>387.84</v>
      </c>
      <c r="J56" s="174">
        <f>E56*H56</f>
        <v>534</v>
      </c>
      <c r="K56" s="174">
        <f>F56*H56</f>
        <v>0</v>
      </c>
      <c r="L56" s="174">
        <f>I56*(1+$M$11)</f>
        <v>504.192</v>
      </c>
      <c r="M56" s="174">
        <f>G56*I56</f>
        <v>775.68</v>
      </c>
      <c r="N56" s="174">
        <f>G56*L56</f>
        <v>1008.384</v>
      </c>
    </row>
    <row r="57" spans="1:14" s="181" customFormat="1" ht="15.75">
      <c r="A57" s="183" t="s">
        <v>466</v>
      </c>
      <c r="B57" s="37"/>
      <c r="C57" s="47" t="s">
        <v>78</v>
      </c>
      <c r="D57" s="39" t="s">
        <v>77</v>
      </c>
      <c r="E57" s="45">
        <v>21</v>
      </c>
      <c r="F57" s="175"/>
      <c r="G57" s="174">
        <f>E57-F57</f>
        <v>21</v>
      </c>
      <c r="H57" s="8">
        <v>267</v>
      </c>
      <c r="I57" s="174">
        <v>418.84</v>
      </c>
      <c r="J57" s="174">
        <f>E57*H57</f>
        <v>5607</v>
      </c>
      <c r="K57" s="174">
        <f>F57*H57</f>
        <v>0</v>
      </c>
      <c r="L57" s="174">
        <f>I57*(1+$M$11)</f>
        <v>544.492</v>
      </c>
      <c r="M57" s="174">
        <f>G57*I57</f>
        <v>8795.64</v>
      </c>
      <c r="N57" s="174">
        <f>G57*L57</f>
        <v>11434.331999999999</v>
      </c>
    </row>
    <row r="58" spans="1:14" s="181" customFormat="1" ht="15.75">
      <c r="A58" s="183" t="s">
        <v>466</v>
      </c>
      <c r="B58" s="37"/>
      <c r="C58" s="47" t="s">
        <v>79</v>
      </c>
      <c r="D58" s="39" t="s">
        <v>77</v>
      </c>
      <c r="E58" s="45">
        <v>5</v>
      </c>
      <c r="F58" s="175"/>
      <c r="G58" s="174">
        <f>E58-F58</f>
        <v>5</v>
      </c>
      <c r="H58" s="8">
        <v>255</v>
      </c>
      <c r="I58" s="174">
        <v>419.35</v>
      </c>
      <c r="J58" s="174">
        <f>E58*H58</f>
        <v>1275</v>
      </c>
      <c r="K58" s="174">
        <f>F58*H58</f>
        <v>0</v>
      </c>
      <c r="L58" s="174">
        <f>I58*(1+$M$11)</f>
        <v>545.1550000000001</v>
      </c>
      <c r="M58" s="174">
        <f>G58*I58</f>
        <v>2096.75</v>
      </c>
      <c r="N58" s="174">
        <f>G58*L58</f>
        <v>2725.7750000000005</v>
      </c>
    </row>
    <row r="59" spans="1:14" s="181" customFormat="1" ht="15.75">
      <c r="A59" s="183" t="s">
        <v>466</v>
      </c>
      <c r="B59" s="37"/>
      <c r="C59" s="47" t="s">
        <v>80</v>
      </c>
      <c r="D59" s="39" t="s">
        <v>77</v>
      </c>
      <c r="E59" s="45">
        <v>2</v>
      </c>
      <c r="F59" s="175"/>
      <c r="G59" s="174">
        <f>E59-F59</f>
        <v>2</v>
      </c>
      <c r="H59" s="8">
        <v>324.9</v>
      </c>
      <c r="I59" s="174">
        <v>424.84</v>
      </c>
      <c r="J59" s="174">
        <f>E59*H59</f>
        <v>649.8</v>
      </c>
      <c r="K59" s="174">
        <f>F59*H59</f>
        <v>0</v>
      </c>
      <c r="L59" s="174">
        <f>I59*(1+$M$11)</f>
        <v>552.292</v>
      </c>
      <c r="M59" s="174">
        <f>G59*I59</f>
        <v>849.68</v>
      </c>
      <c r="N59" s="174">
        <f>G59*L59</f>
        <v>1104.584</v>
      </c>
    </row>
    <row r="60" spans="1:14" s="181" customFormat="1" ht="25.5">
      <c r="A60" s="178"/>
      <c r="B60" s="37" t="s">
        <v>81</v>
      </c>
      <c r="C60" s="46" t="s">
        <v>82</v>
      </c>
      <c r="D60" s="39"/>
      <c r="E60" s="45"/>
      <c r="F60" s="175"/>
      <c r="G60" s="174"/>
      <c r="H60" s="8"/>
      <c r="I60" s="174"/>
      <c r="J60" s="174"/>
      <c r="K60" s="174"/>
      <c r="L60" s="174"/>
      <c r="M60" s="174"/>
      <c r="N60" s="174"/>
    </row>
    <row r="61" spans="1:14" s="181" customFormat="1" ht="15.75">
      <c r="A61" s="183" t="s">
        <v>466</v>
      </c>
      <c r="B61" s="37"/>
      <c r="C61" s="47" t="s">
        <v>83</v>
      </c>
      <c r="D61" s="39" t="s">
        <v>77</v>
      </c>
      <c r="E61" s="45">
        <v>1</v>
      </c>
      <c r="F61" s="175"/>
      <c r="G61" s="174">
        <f>E61-F61</f>
        <v>1</v>
      </c>
      <c r="H61" s="8">
        <v>345.7</v>
      </c>
      <c r="I61" s="174">
        <v>528.84</v>
      </c>
      <c r="J61" s="174">
        <f>E61*H61</f>
        <v>345.7</v>
      </c>
      <c r="K61" s="174">
        <f>F61*H61</f>
        <v>0</v>
      </c>
      <c r="L61" s="174">
        <f>I61*(1+$M$11)</f>
        <v>687.4920000000001</v>
      </c>
      <c r="M61" s="174">
        <f>G61*I61</f>
        <v>528.84</v>
      </c>
      <c r="N61" s="174">
        <f>G61*L61</f>
        <v>687.4920000000001</v>
      </c>
    </row>
    <row r="62" spans="1:14" s="181" customFormat="1" ht="15.75">
      <c r="A62" s="183" t="s">
        <v>466</v>
      </c>
      <c r="B62" s="37"/>
      <c r="C62" s="47" t="s">
        <v>80</v>
      </c>
      <c r="D62" s="39" t="s">
        <v>77</v>
      </c>
      <c r="E62" s="45">
        <v>2</v>
      </c>
      <c r="F62" s="175"/>
      <c r="G62" s="174">
        <f>E62-F62</f>
        <v>2</v>
      </c>
      <c r="H62" s="8">
        <v>388.9</v>
      </c>
      <c r="I62" s="174">
        <v>534.84</v>
      </c>
      <c r="J62" s="174">
        <f>E62*H62</f>
        <v>777.8</v>
      </c>
      <c r="K62" s="174">
        <f>F62*H62</f>
        <v>0</v>
      </c>
      <c r="L62" s="174">
        <f>I62*(1+$M$11)</f>
        <v>695.292</v>
      </c>
      <c r="M62" s="174">
        <f>G62*I62</f>
        <v>1069.68</v>
      </c>
      <c r="N62" s="174">
        <f>G62*L62</f>
        <v>1390.584</v>
      </c>
    </row>
    <row r="63" spans="1:15" s="181" customFormat="1" ht="15.75">
      <c r="A63" s="178"/>
      <c r="B63" s="19"/>
      <c r="C63" s="20" t="s">
        <v>84</v>
      </c>
      <c r="D63" s="34"/>
      <c r="E63" s="44"/>
      <c r="F63" s="175"/>
      <c r="G63" s="174"/>
      <c r="H63" s="174"/>
      <c r="I63" s="174"/>
      <c r="J63" s="179">
        <f>SUM(J56:J62)</f>
        <v>9189.3</v>
      </c>
      <c r="K63" s="179">
        <f>SUM(K56:K62)</f>
        <v>0</v>
      </c>
      <c r="L63" s="179"/>
      <c r="M63" s="179">
        <f>SUM(M56:M62)</f>
        <v>14116.27</v>
      </c>
      <c r="N63" s="179">
        <f>SUM(N56:N62)</f>
        <v>18351.150999999998</v>
      </c>
      <c r="O63" s="180"/>
    </row>
    <row r="64" spans="1:14" ht="12.75">
      <c r="A64" s="171"/>
      <c r="B64" s="37"/>
      <c r="C64" s="47"/>
      <c r="D64" s="39"/>
      <c r="E64" s="45"/>
      <c r="F64" s="175"/>
      <c r="G64" s="174"/>
      <c r="H64" s="174"/>
      <c r="I64" s="174"/>
      <c r="J64" s="174"/>
      <c r="K64" s="174"/>
      <c r="L64" s="174"/>
      <c r="M64" s="174"/>
      <c r="N64" s="174"/>
    </row>
    <row r="65" spans="1:14" ht="12.75">
      <c r="A65" s="171"/>
      <c r="B65" s="23">
        <v>6</v>
      </c>
      <c r="C65" s="48" t="s">
        <v>85</v>
      </c>
      <c r="D65" s="39"/>
      <c r="E65" s="45"/>
      <c r="F65" s="175"/>
      <c r="G65" s="174"/>
      <c r="H65" s="174"/>
      <c r="I65" s="174"/>
      <c r="J65" s="174"/>
      <c r="K65" s="174"/>
      <c r="L65" s="174"/>
      <c r="M65" s="174"/>
      <c r="N65" s="174"/>
    </row>
    <row r="66" spans="1:14" ht="38.25">
      <c r="A66" s="171" t="s">
        <v>483</v>
      </c>
      <c r="B66" s="37" t="s">
        <v>500</v>
      </c>
      <c r="C66" s="46" t="s">
        <v>86</v>
      </c>
      <c r="D66" s="39" t="s">
        <v>77</v>
      </c>
      <c r="E66" s="45">
        <v>1</v>
      </c>
      <c r="F66" s="175"/>
      <c r="G66" s="174">
        <f t="shared" si="3"/>
        <v>1</v>
      </c>
      <c r="H66" s="8">
        <v>1540.7</v>
      </c>
      <c r="I66" s="174">
        <v>1240</v>
      </c>
      <c r="J66" s="174">
        <f aca="true" t="shared" si="4" ref="J66:J88">E66*H66</f>
        <v>1540.7</v>
      </c>
      <c r="K66" s="174">
        <f t="shared" si="1"/>
        <v>0</v>
      </c>
      <c r="L66" s="174">
        <f aca="true" t="shared" si="5" ref="L66:L71">I66*(1+$M$11)</f>
        <v>1612</v>
      </c>
      <c r="M66" s="174">
        <f aca="true" t="shared" si="6" ref="M66:M71">G66*I66</f>
        <v>1240</v>
      </c>
      <c r="N66" s="174">
        <f aca="true" t="shared" si="7" ref="N66:N71">G66*L66</f>
        <v>1612</v>
      </c>
    </row>
    <row r="67" spans="1:14" ht="38.25">
      <c r="A67" s="171" t="s">
        <v>483</v>
      </c>
      <c r="B67" s="37" t="s">
        <v>502</v>
      </c>
      <c r="C67" s="46" t="s">
        <v>87</v>
      </c>
      <c r="D67" s="39" t="s">
        <v>77</v>
      </c>
      <c r="E67" s="45">
        <v>1</v>
      </c>
      <c r="F67" s="175"/>
      <c r="G67" s="174">
        <f t="shared" si="3"/>
        <v>1</v>
      </c>
      <c r="H67" s="8">
        <v>1044.67</v>
      </c>
      <c r="I67" s="174">
        <v>820</v>
      </c>
      <c r="J67" s="174">
        <f t="shared" si="4"/>
        <v>1044.67</v>
      </c>
      <c r="K67" s="174">
        <f t="shared" si="1"/>
        <v>0</v>
      </c>
      <c r="L67" s="174">
        <f t="shared" si="5"/>
        <v>1066</v>
      </c>
      <c r="M67" s="174">
        <f t="shared" si="6"/>
        <v>820</v>
      </c>
      <c r="N67" s="174">
        <f t="shared" si="7"/>
        <v>1066</v>
      </c>
    </row>
    <row r="68" spans="1:14" ht="12.75">
      <c r="A68" s="171"/>
      <c r="B68" s="37" t="s">
        <v>88</v>
      </c>
      <c r="C68" s="46" t="s">
        <v>89</v>
      </c>
      <c r="D68" s="39"/>
      <c r="E68" s="45"/>
      <c r="F68" s="175"/>
      <c r="G68" s="174"/>
      <c r="H68" s="8"/>
      <c r="I68" s="174"/>
      <c r="J68" s="174"/>
      <c r="K68" s="174"/>
      <c r="L68" s="174">
        <f t="shared" si="5"/>
        <v>0</v>
      </c>
      <c r="M68" s="174">
        <f t="shared" si="6"/>
        <v>0</v>
      </c>
      <c r="N68" s="174">
        <f t="shared" si="7"/>
        <v>0</v>
      </c>
    </row>
    <row r="69" spans="1:16" ht="12.75">
      <c r="A69" s="171" t="s">
        <v>90</v>
      </c>
      <c r="B69" s="37"/>
      <c r="C69" s="47" t="s">
        <v>91</v>
      </c>
      <c r="D69" s="39" t="s">
        <v>77</v>
      </c>
      <c r="E69" s="45">
        <v>1</v>
      </c>
      <c r="F69" s="175"/>
      <c r="G69" s="174">
        <f t="shared" si="3"/>
        <v>1</v>
      </c>
      <c r="H69" s="8">
        <v>324.6</v>
      </c>
      <c r="I69" s="8">
        <v>455.44</v>
      </c>
      <c r="J69" s="174">
        <f t="shared" si="4"/>
        <v>324.6</v>
      </c>
      <c r="K69" s="174">
        <f t="shared" si="1"/>
        <v>0</v>
      </c>
      <c r="L69" s="174">
        <f t="shared" si="5"/>
        <v>592.072</v>
      </c>
      <c r="M69" s="174">
        <f t="shared" si="6"/>
        <v>455.44</v>
      </c>
      <c r="N69" s="174">
        <f t="shared" si="7"/>
        <v>592.072</v>
      </c>
      <c r="O69" s="184"/>
      <c r="P69" s="135"/>
    </row>
    <row r="70" spans="1:16" ht="12.75">
      <c r="A70" s="171" t="s">
        <v>90</v>
      </c>
      <c r="B70" s="37"/>
      <c r="C70" s="47" t="s">
        <v>92</v>
      </c>
      <c r="D70" s="39" t="s">
        <v>77</v>
      </c>
      <c r="E70" s="45">
        <v>4</v>
      </c>
      <c r="F70" s="175"/>
      <c r="G70" s="174">
        <f t="shared" si="3"/>
        <v>4</v>
      </c>
      <c r="H70" s="8">
        <v>275.6</v>
      </c>
      <c r="I70" s="8">
        <v>372.63</v>
      </c>
      <c r="J70" s="174">
        <f t="shared" si="4"/>
        <v>1102.4</v>
      </c>
      <c r="K70" s="174">
        <f t="shared" si="1"/>
        <v>0</v>
      </c>
      <c r="L70" s="174">
        <f t="shared" si="5"/>
        <v>484.419</v>
      </c>
      <c r="M70" s="174">
        <f t="shared" si="6"/>
        <v>1490.52</v>
      </c>
      <c r="N70" s="174">
        <f t="shared" si="7"/>
        <v>1937.676</v>
      </c>
      <c r="O70" s="185"/>
      <c r="P70" s="135"/>
    </row>
    <row r="71" spans="1:14" ht="25.5">
      <c r="A71" s="171" t="s">
        <v>93</v>
      </c>
      <c r="B71" s="37" t="s">
        <v>492</v>
      </c>
      <c r="C71" s="10" t="s">
        <v>94</v>
      </c>
      <c r="D71" s="39" t="s">
        <v>77</v>
      </c>
      <c r="E71" s="45">
        <v>6</v>
      </c>
      <c r="F71" s="175"/>
      <c r="G71" s="174">
        <f t="shared" si="3"/>
        <v>6</v>
      </c>
      <c r="H71" s="8">
        <v>445.3</v>
      </c>
      <c r="I71" s="8">
        <v>527.68</v>
      </c>
      <c r="J71" s="174">
        <f t="shared" si="4"/>
        <v>2671.8</v>
      </c>
      <c r="K71" s="174">
        <f t="shared" si="1"/>
        <v>0</v>
      </c>
      <c r="L71" s="174">
        <f t="shared" si="5"/>
        <v>685.9839999999999</v>
      </c>
      <c r="M71" s="174">
        <f t="shared" si="6"/>
        <v>3166.08</v>
      </c>
      <c r="N71" s="174">
        <f t="shared" si="7"/>
        <v>4115.9039999999995</v>
      </c>
    </row>
    <row r="72" spans="1:14" ht="38.25">
      <c r="A72" s="171"/>
      <c r="B72" s="37" t="s">
        <v>95</v>
      </c>
      <c r="C72" s="46" t="s">
        <v>96</v>
      </c>
      <c r="D72" s="39"/>
      <c r="E72" s="45"/>
      <c r="F72" s="175"/>
      <c r="G72" s="174"/>
      <c r="H72" s="8"/>
      <c r="I72" s="174"/>
      <c r="J72" s="174"/>
      <c r="K72" s="174"/>
      <c r="L72" s="174"/>
      <c r="M72" s="174"/>
      <c r="N72" s="174"/>
    </row>
    <row r="73" spans="1:14" ht="12.75">
      <c r="A73" s="171" t="s">
        <v>483</v>
      </c>
      <c r="B73" s="37"/>
      <c r="C73" s="47" t="s">
        <v>97</v>
      </c>
      <c r="D73" s="39" t="s">
        <v>77</v>
      </c>
      <c r="E73" s="45">
        <v>2</v>
      </c>
      <c r="F73" s="175"/>
      <c r="G73" s="174">
        <f t="shared" si="3"/>
        <v>2</v>
      </c>
      <c r="H73" s="8">
        <v>523.4</v>
      </c>
      <c r="I73" s="174">
        <v>520</v>
      </c>
      <c r="J73" s="174">
        <f t="shared" si="4"/>
        <v>1046.8</v>
      </c>
      <c r="K73" s="174">
        <f>F73*H73</f>
        <v>0</v>
      </c>
      <c r="L73" s="174">
        <f>I73*(1+$M$11)</f>
        <v>676</v>
      </c>
      <c r="M73" s="174">
        <f>G73*I73</f>
        <v>1040</v>
      </c>
      <c r="N73" s="174">
        <f>G73*L73</f>
        <v>1352</v>
      </c>
    </row>
    <row r="74" spans="1:14" ht="12.75">
      <c r="A74" s="171" t="s">
        <v>483</v>
      </c>
      <c r="B74" s="37"/>
      <c r="C74" s="47" t="s">
        <v>98</v>
      </c>
      <c r="D74" s="39" t="s">
        <v>77</v>
      </c>
      <c r="E74" s="45">
        <v>1</v>
      </c>
      <c r="F74" s="175"/>
      <c r="G74" s="174">
        <f t="shared" si="3"/>
        <v>1</v>
      </c>
      <c r="H74" s="8">
        <v>690.5</v>
      </c>
      <c r="I74" s="174">
        <v>623</v>
      </c>
      <c r="J74" s="174">
        <f t="shared" si="4"/>
        <v>690.5</v>
      </c>
      <c r="K74" s="174">
        <f t="shared" si="1"/>
        <v>0</v>
      </c>
      <c r="L74" s="174">
        <f>I74*(1+$M$11)</f>
        <v>809.9</v>
      </c>
      <c r="M74" s="174">
        <f>G74*I74</f>
        <v>623</v>
      </c>
      <c r="N74" s="174">
        <f>G74*L74</f>
        <v>809.9</v>
      </c>
    </row>
    <row r="75" spans="1:14" ht="12.75">
      <c r="A75" s="171" t="s">
        <v>483</v>
      </c>
      <c r="B75" s="37"/>
      <c r="C75" s="47" t="s">
        <v>99</v>
      </c>
      <c r="D75" s="39" t="s">
        <v>77</v>
      </c>
      <c r="E75" s="45">
        <v>3</v>
      </c>
      <c r="F75" s="175"/>
      <c r="G75" s="174">
        <f t="shared" si="3"/>
        <v>3</v>
      </c>
      <c r="H75" s="8">
        <v>870</v>
      </c>
      <c r="I75" s="174">
        <v>650</v>
      </c>
      <c r="J75" s="174">
        <f t="shared" si="4"/>
        <v>2610</v>
      </c>
      <c r="K75" s="174">
        <f t="shared" si="1"/>
        <v>0</v>
      </c>
      <c r="L75" s="174">
        <f>I75*(1+$M$11)</f>
        <v>845</v>
      </c>
      <c r="M75" s="174">
        <f>G75*I75</f>
        <v>1950</v>
      </c>
      <c r="N75" s="174">
        <f>G75*L75</f>
        <v>2535</v>
      </c>
    </row>
    <row r="76" spans="1:14" ht="12.75">
      <c r="A76" s="171" t="s">
        <v>483</v>
      </c>
      <c r="B76" s="37"/>
      <c r="C76" s="47" t="s">
        <v>100</v>
      </c>
      <c r="D76" s="39" t="s">
        <v>77</v>
      </c>
      <c r="E76" s="45">
        <v>7</v>
      </c>
      <c r="F76" s="175"/>
      <c r="G76" s="174">
        <f t="shared" si="3"/>
        <v>7</v>
      </c>
      <c r="H76" s="8">
        <v>398</v>
      </c>
      <c r="I76" s="174">
        <v>445</v>
      </c>
      <c r="J76" s="174">
        <f t="shared" si="4"/>
        <v>2786</v>
      </c>
      <c r="K76" s="174">
        <f t="shared" si="1"/>
        <v>0</v>
      </c>
      <c r="L76" s="174">
        <f>I76*(1+$M$11)</f>
        <v>578.5</v>
      </c>
      <c r="M76" s="174">
        <f>G76*I76</f>
        <v>3115</v>
      </c>
      <c r="N76" s="174">
        <f>G76*L76</f>
        <v>4049.5</v>
      </c>
    </row>
    <row r="77" spans="1:14" ht="12.75">
      <c r="A77" s="171" t="s">
        <v>483</v>
      </c>
      <c r="B77" s="37"/>
      <c r="C77" s="47" t="s">
        <v>101</v>
      </c>
      <c r="D77" s="39" t="s">
        <v>77</v>
      </c>
      <c r="E77" s="45">
        <v>9</v>
      </c>
      <c r="F77" s="175"/>
      <c r="G77" s="174">
        <f t="shared" si="3"/>
        <v>9</v>
      </c>
      <c r="H77" s="8">
        <v>334.6</v>
      </c>
      <c r="I77" s="174">
        <v>370</v>
      </c>
      <c r="J77" s="174">
        <f t="shared" si="4"/>
        <v>3011.4</v>
      </c>
      <c r="K77" s="174">
        <f t="shared" si="1"/>
        <v>0</v>
      </c>
      <c r="L77" s="174">
        <f>I77*(1+$M$11)</f>
        <v>481</v>
      </c>
      <c r="M77" s="174">
        <f>G77*I77</f>
        <v>3330</v>
      </c>
      <c r="N77" s="174">
        <f>G77*L77</f>
        <v>4329</v>
      </c>
    </row>
    <row r="78" spans="1:14" ht="25.5">
      <c r="A78" s="171"/>
      <c r="B78" s="37" t="s">
        <v>102</v>
      </c>
      <c r="C78" s="46" t="s">
        <v>103</v>
      </c>
      <c r="D78" s="39"/>
      <c r="E78" s="45"/>
      <c r="F78" s="175"/>
      <c r="G78" s="174"/>
      <c r="H78" s="8"/>
      <c r="I78" s="174"/>
      <c r="J78" s="174"/>
      <c r="K78" s="174"/>
      <c r="L78" s="174"/>
      <c r="M78" s="174"/>
      <c r="N78" s="174"/>
    </row>
    <row r="79" spans="1:14" ht="12.75">
      <c r="A79" s="171" t="s">
        <v>483</v>
      </c>
      <c r="B79" s="37"/>
      <c r="C79" s="47" t="s">
        <v>104</v>
      </c>
      <c r="D79" s="39" t="s">
        <v>77</v>
      </c>
      <c r="E79" s="45">
        <v>8</v>
      </c>
      <c r="F79" s="175"/>
      <c r="G79" s="174">
        <f t="shared" si="3"/>
        <v>8</v>
      </c>
      <c r="H79" s="8">
        <v>287.9</v>
      </c>
      <c r="I79" s="174">
        <v>264</v>
      </c>
      <c r="J79" s="174">
        <f t="shared" si="4"/>
        <v>2303.2</v>
      </c>
      <c r="K79" s="174">
        <f t="shared" si="1"/>
        <v>0</v>
      </c>
      <c r="L79" s="174">
        <f>I79*(1+$M$11)</f>
        <v>343.2</v>
      </c>
      <c r="M79" s="174">
        <f>G79*I79</f>
        <v>2112</v>
      </c>
      <c r="N79" s="174">
        <f>G79*L79</f>
        <v>2745.6</v>
      </c>
    </row>
    <row r="80" spans="1:14" ht="12.75">
      <c r="A80" s="171" t="s">
        <v>483</v>
      </c>
      <c r="B80" s="37"/>
      <c r="C80" s="47" t="s">
        <v>105</v>
      </c>
      <c r="D80" s="39" t="s">
        <v>77</v>
      </c>
      <c r="E80" s="45">
        <v>1</v>
      </c>
      <c r="F80" s="175"/>
      <c r="G80" s="174">
        <f t="shared" si="3"/>
        <v>1</v>
      </c>
      <c r="H80" s="8">
        <v>175.7</v>
      </c>
      <c r="I80" s="174">
        <v>188</v>
      </c>
      <c r="J80" s="174">
        <f t="shared" si="4"/>
        <v>175.7</v>
      </c>
      <c r="K80" s="174">
        <f t="shared" si="1"/>
        <v>0</v>
      </c>
      <c r="L80" s="174">
        <f>I80*(1+$M$11)</f>
        <v>244.4</v>
      </c>
      <c r="M80" s="174">
        <f>G80*I80</f>
        <v>188</v>
      </c>
      <c r="N80" s="174">
        <f>G80*L80</f>
        <v>244.4</v>
      </c>
    </row>
    <row r="81" spans="1:14" ht="25.5">
      <c r="A81" s="171"/>
      <c r="B81" s="37" t="s">
        <v>106</v>
      </c>
      <c r="C81" s="46" t="s">
        <v>107</v>
      </c>
      <c r="D81" s="39"/>
      <c r="E81" s="45"/>
      <c r="F81" s="175"/>
      <c r="G81" s="174"/>
      <c r="H81" s="8"/>
      <c r="I81" s="174"/>
      <c r="J81" s="174"/>
      <c r="K81" s="174">
        <f t="shared" si="1"/>
        <v>0</v>
      </c>
      <c r="L81" s="174"/>
      <c r="M81" s="174"/>
      <c r="N81" s="174"/>
    </row>
    <row r="82" spans="1:14" ht="12.75">
      <c r="A82" s="171" t="s">
        <v>483</v>
      </c>
      <c r="B82" s="37"/>
      <c r="C82" s="47" t="s">
        <v>108</v>
      </c>
      <c r="D82" s="39" t="s">
        <v>77</v>
      </c>
      <c r="E82" s="45">
        <v>2</v>
      </c>
      <c r="F82" s="175"/>
      <c r="G82" s="174">
        <f t="shared" si="3"/>
        <v>2</v>
      </c>
      <c r="H82" s="8">
        <v>234.8</v>
      </c>
      <c r="I82" s="8">
        <v>220</v>
      </c>
      <c r="J82" s="174">
        <f t="shared" si="4"/>
        <v>469.6</v>
      </c>
      <c r="K82" s="174">
        <f t="shared" si="1"/>
        <v>0</v>
      </c>
      <c r="L82" s="174">
        <f>I82*(1+$M$11)</f>
        <v>286</v>
      </c>
      <c r="M82" s="174">
        <f>G82*I82</f>
        <v>440</v>
      </c>
      <c r="N82" s="174">
        <f>G82*L82</f>
        <v>572</v>
      </c>
    </row>
    <row r="83" spans="1:14" ht="12.75">
      <c r="A83" s="171" t="s">
        <v>483</v>
      </c>
      <c r="B83" s="37"/>
      <c r="C83" s="47" t="s">
        <v>109</v>
      </c>
      <c r="D83" s="39" t="s">
        <v>77</v>
      </c>
      <c r="E83" s="45">
        <v>3</v>
      </c>
      <c r="F83" s="175"/>
      <c r="G83" s="174">
        <f t="shared" si="3"/>
        <v>3</v>
      </c>
      <c r="H83" s="8">
        <v>198.6</v>
      </c>
      <c r="I83" s="8">
        <v>135</v>
      </c>
      <c r="J83" s="174">
        <f t="shared" si="4"/>
        <v>595.8</v>
      </c>
      <c r="K83" s="174">
        <f t="shared" si="1"/>
        <v>0</v>
      </c>
      <c r="L83" s="174">
        <f>I83*(1+$M$11)</f>
        <v>175.5</v>
      </c>
      <c r="M83" s="174">
        <f>G83*I83</f>
        <v>405</v>
      </c>
      <c r="N83" s="174">
        <f>G83*L83</f>
        <v>526.5</v>
      </c>
    </row>
    <row r="84" spans="1:14" ht="12.75">
      <c r="A84" s="171"/>
      <c r="B84" s="37" t="s">
        <v>110</v>
      </c>
      <c r="C84" s="46" t="s">
        <v>111</v>
      </c>
      <c r="D84" s="39"/>
      <c r="E84" s="45"/>
      <c r="F84" s="175"/>
      <c r="G84" s="174"/>
      <c r="H84" s="8"/>
      <c r="I84" s="174"/>
      <c r="J84" s="174"/>
      <c r="K84" s="174">
        <f t="shared" si="1"/>
        <v>0</v>
      </c>
      <c r="L84" s="174"/>
      <c r="M84" s="174"/>
      <c r="N84" s="174"/>
    </row>
    <row r="85" spans="1:14" ht="12.75">
      <c r="A85" s="171" t="s">
        <v>112</v>
      </c>
      <c r="B85" s="37"/>
      <c r="C85" s="47" t="s">
        <v>113</v>
      </c>
      <c r="D85" s="39" t="s">
        <v>77</v>
      </c>
      <c r="E85" s="45">
        <v>3</v>
      </c>
      <c r="F85" s="175"/>
      <c r="G85" s="174">
        <f aca="true" t="shared" si="8" ref="G85:G144">E85-F85</f>
        <v>3</v>
      </c>
      <c r="H85" s="8">
        <v>276.7</v>
      </c>
      <c r="I85" s="8">
        <v>393</v>
      </c>
      <c r="J85" s="174">
        <f t="shared" si="4"/>
        <v>830.0999999999999</v>
      </c>
      <c r="K85" s="174">
        <f aca="true" t="shared" si="9" ref="K85:K148">F85*H85</f>
        <v>0</v>
      </c>
      <c r="L85" s="174">
        <f>I85*(1+$M$11)</f>
        <v>510.90000000000003</v>
      </c>
      <c r="M85" s="174">
        <f>G85*I85</f>
        <v>1179</v>
      </c>
      <c r="N85" s="174">
        <f>G85*L85</f>
        <v>1532.7</v>
      </c>
    </row>
    <row r="86" spans="1:14" ht="12.75">
      <c r="A86" s="171" t="s">
        <v>112</v>
      </c>
      <c r="B86" s="37"/>
      <c r="C86" s="47" t="s">
        <v>114</v>
      </c>
      <c r="D86" s="39" t="s">
        <v>77</v>
      </c>
      <c r="E86" s="45">
        <v>2</v>
      </c>
      <c r="F86" s="175"/>
      <c r="G86" s="174">
        <f t="shared" si="8"/>
        <v>2</v>
      </c>
      <c r="H86" s="8">
        <v>970.5</v>
      </c>
      <c r="I86" s="8">
        <v>903.91</v>
      </c>
      <c r="J86" s="174">
        <f t="shared" si="4"/>
        <v>1941</v>
      </c>
      <c r="K86" s="174">
        <f t="shared" si="9"/>
        <v>0</v>
      </c>
      <c r="L86" s="174">
        <f>I86*(1+$M$11)</f>
        <v>1175.083</v>
      </c>
      <c r="M86" s="174">
        <f>G86*I86</f>
        <v>1807.82</v>
      </c>
      <c r="N86" s="174">
        <f>G86*L86</f>
        <v>2350.166</v>
      </c>
    </row>
    <row r="87" spans="1:15" ht="12.75">
      <c r="A87" s="171" t="s">
        <v>115</v>
      </c>
      <c r="B87" s="37" t="s">
        <v>496</v>
      </c>
      <c r="C87" s="46" t="s">
        <v>116</v>
      </c>
      <c r="D87" s="39" t="s">
        <v>7</v>
      </c>
      <c r="E87" s="45">
        <v>6</v>
      </c>
      <c r="F87" s="175"/>
      <c r="G87" s="174">
        <f t="shared" si="8"/>
        <v>6</v>
      </c>
      <c r="H87" s="8">
        <v>176.8</v>
      </c>
      <c r="I87" s="8">
        <v>245.35</v>
      </c>
      <c r="J87" s="174">
        <f t="shared" si="4"/>
        <v>1060.8000000000002</v>
      </c>
      <c r="K87" s="174">
        <f t="shared" si="9"/>
        <v>0</v>
      </c>
      <c r="L87" s="174">
        <f>I87*(1+$M$11)</f>
        <v>318.955</v>
      </c>
      <c r="M87" s="174">
        <f>G87*I87</f>
        <v>1472.1</v>
      </c>
      <c r="N87" s="174">
        <f>G87*L87</f>
        <v>1913.73</v>
      </c>
      <c r="O87" s="177"/>
    </row>
    <row r="88" spans="1:16" ht="12.75">
      <c r="A88" s="171" t="s">
        <v>117</v>
      </c>
      <c r="B88" s="37" t="s">
        <v>461</v>
      </c>
      <c r="C88" s="46" t="s">
        <v>118</v>
      </c>
      <c r="D88" s="39" t="s">
        <v>7</v>
      </c>
      <c r="E88" s="45">
        <v>48</v>
      </c>
      <c r="F88" s="175"/>
      <c r="G88" s="174">
        <f t="shared" si="8"/>
        <v>48</v>
      </c>
      <c r="H88" s="8">
        <v>95</v>
      </c>
      <c r="I88" s="8">
        <v>583.68</v>
      </c>
      <c r="J88" s="174">
        <f t="shared" si="4"/>
        <v>4560</v>
      </c>
      <c r="K88" s="174">
        <f t="shared" si="9"/>
        <v>0</v>
      </c>
      <c r="L88" s="174">
        <f>I88*(1+$M$11)</f>
        <v>758.784</v>
      </c>
      <c r="M88" s="174">
        <f>G88*I88</f>
        <v>28016.64</v>
      </c>
      <c r="N88" s="174">
        <f>G88*L88</f>
        <v>36421.632</v>
      </c>
      <c r="P88" s="177"/>
    </row>
    <row r="89" spans="1:15" s="181" customFormat="1" ht="15.75">
      <c r="A89" s="178"/>
      <c r="B89" s="19"/>
      <c r="C89" s="49" t="s">
        <v>119</v>
      </c>
      <c r="D89" s="34"/>
      <c r="E89" s="50"/>
      <c r="F89" s="25"/>
      <c r="G89" s="179"/>
      <c r="H89" s="179"/>
      <c r="I89" s="179"/>
      <c r="J89" s="179">
        <f>SUM(J66:J88)</f>
        <v>28765.07</v>
      </c>
      <c r="K89" s="179">
        <f>SUM(K66:K88)</f>
        <v>0</v>
      </c>
      <c r="L89" s="179"/>
      <c r="M89" s="179">
        <f>SUM(M66:M88)</f>
        <v>52850.6</v>
      </c>
      <c r="N89" s="179">
        <f>SUM(N66:N88)</f>
        <v>68705.78</v>
      </c>
      <c r="O89" s="180"/>
    </row>
    <row r="90" spans="1:14" ht="12.75">
      <c r="A90" s="171"/>
      <c r="B90" s="37"/>
      <c r="C90" s="48"/>
      <c r="D90" s="39"/>
      <c r="E90" s="51"/>
      <c r="F90" s="175"/>
      <c r="G90" s="174"/>
      <c r="H90" s="174"/>
      <c r="I90" s="174"/>
      <c r="J90" s="174"/>
      <c r="K90" s="174"/>
      <c r="L90" s="174"/>
      <c r="M90" s="174"/>
      <c r="N90" s="174"/>
    </row>
    <row r="91" spans="1:14" ht="12.75">
      <c r="A91" s="171"/>
      <c r="B91" s="23">
        <v>7</v>
      </c>
      <c r="C91" s="48" t="s">
        <v>120</v>
      </c>
      <c r="D91" s="39"/>
      <c r="E91" s="51"/>
      <c r="F91" s="175"/>
      <c r="G91" s="174"/>
      <c r="H91" s="174"/>
      <c r="I91" s="174"/>
      <c r="J91" s="174"/>
      <c r="K91" s="174"/>
      <c r="L91" s="174"/>
      <c r="M91" s="174"/>
      <c r="N91" s="174"/>
    </row>
    <row r="92" spans="1:14" ht="12.75" hidden="1">
      <c r="A92" s="171"/>
      <c r="B92" s="37" t="s">
        <v>121</v>
      </c>
      <c r="C92" s="52" t="s">
        <v>122</v>
      </c>
      <c r="D92" s="39" t="s">
        <v>7</v>
      </c>
      <c r="E92" s="51">
        <v>498</v>
      </c>
      <c r="F92" s="175">
        <v>498</v>
      </c>
      <c r="G92" s="174">
        <f t="shared" si="8"/>
        <v>0</v>
      </c>
      <c r="H92" s="8">
        <v>39</v>
      </c>
      <c r="I92" s="174"/>
      <c r="J92" s="174">
        <f aca="true" t="shared" si="10" ref="J92:J99">E92*H92</f>
        <v>19422</v>
      </c>
      <c r="K92" s="174">
        <f t="shared" si="9"/>
        <v>19422</v>
      </c>
      <c r="L92" s="174"/>
      <c r="M92" s="174">
        <f>G92*I92</f>
        <v>0</v>
      </c>
      <c r="N92" s="174"/>
    </row>
    <row r="93" spans="1:14" ht="12.75" hidden="1">
      <c r="A93" s="171"/>
      <c r="B93" s="37" t="s">
        <v>123</v>
      </c>
      <c r="C93" s="52" t="s">
        <v>124</v>
      </c>
      <c r="D93" s="39" t="s">
        <v>7</v>
      </c>
      <c r="E93" s="51">
        <v>498</v>
      </c>
      <c r="F93" s="175">
        <v>498</v>
      </c>
      <c r="G93" s="174">
        <f t="shared" si="8"/>
        <v>0</v>
      </c>
      <c r="H93" s="8">
        <v>22</v>
      </c>
      <c r="I93" s="174"/>
      <c r="J93" s="174">
        <f t="shared" si="10"/>
        <v>10956</v>
      </c>
      <c r="K93" s="174">
        <f t="shared" si="9"/>
        <v>10956</v>
      </c>
      <c r="L93" s="174"/>
      <c r="M93" s="174">
        <f>G93*I93</f>
        <v>0</v>
      </c>
      <c r="N93" s="174"/>
    </row>
    <row r="94" spans="1:14" ht="12.75" hidden="1">
      <c r="A94" s="171"/>
      <c r="B94" s="37" t="s">
        <v>125</v>
      </c>
      <c r="C94" s="52" t="s">
        <v>126</v>
      </c>
      <c r="D94" s="39" t="s">
        <v>7</v>
      </c>
      <c r="E94" s="51">
        <v>63</v>
      </c>
      <c r="F94" s="175">
        <v>63</v>
      </c>
      <c r="G94" s="174">
        <f t="shared" si="8"/>
        <v>0</v>
      </c>
      <c r="H94" s="8">
        <v>22</v>
      </c>
      <c r="I94" s="174"/>
      <c r="J94" s="174">
        <f t="shared" si="10"/>
        <v>1386</v>
      </c>
      <c r="K94" s="174">
        <f t="shared" si="9"/>
        <v>1386</v>
      </c>
      <c r="L94" s="174"/>
      <c r="M94" s="174">
        <f>G94*I94</f>
        <v>0</v>
      </c>
      <c r="N94" s="174"/>
    </row>
    <row r="95" spans="1:14" ht="25.5" hidden="1">
      <c r="A95" s="171"/>
      <c r="B95" s="37" t="s">
        <v>127</v>
      </c>
      <c r="C95" s="52" t="s">
        <v>128</v>
      </c>
      <c r="D95" s="39" t="s">
        <v>7</v>
      </c>
      <c r="E95" s="51">
        <v>63</v>
      </c>
      <c r="F95" s="175">
        <v>63</v>
      </c>
      <c r="G95" s="174">
        <f t="shared" si="8"/>
        <v>0</v>
      </c>
      <c r="H95" s="8">
        <v>11</v>
      </c>
      <c r="I95" s="174"/>
      <c r="J95" s="174">
        <f t="shared" si="10"/>
        <v>693</v>
      </c>
      <c r="K95" s="174">
        <f t="shared" si="9"/>
        <v>693</v>
      </c>
      <c r="L95" s="174"/>
      <c r="M95" s="174">
        <f>G95*I95</f>
        <v>0</v>
      </c>
      <c r="N95" s="174"/>
    </row>
    <row r="96" spans="1:14" ht="12.75" hidden="1">
      <c r="A96" s="171"/>
      <c r="B96" s="37" t="s">
        <v>129</v>
      </c>
      <c r="C96" s="46" t="s">
        <v>130</v>
      </c>
      <c r="D96" s="39" t="s">
        <v>28</v>
      </c>
      <c r="E96" s="51">
        <v>53</v>
      </c>
      <c r="F96" s="175">
        <v>53</v>
      </c>
      <c r="G96" s="174">
        <f t="shared" si="8"/>
        <v>0</v>
      </c>
      <c r="H96" s="8">
        <v>9.8</v>
      </c>
      <c r="I96" s="174"/>
      <c r="J96" s="174">
        <f t="shared" si="10"/>
        <v>519.4000000000001</v>
      </c>
      <c r="K96" s="174">
        <f t="shared" si="9"/>
        <v>519.4000000000001</v>
      </c>
      <c r="L96" s="174"/>
      <c r="M96" s="174">
        <f>G96*I96</f>
        <v>0</v>
      </c>
      <c r="N96" s="174"/>
    </row>
    <row r="97" spans="1:14" ht="12.75" hidden="1">
      <c r="A97" s="171"/>
      <c r="B97" s="37" t="s">
        <v>131</v>
      </c>
      <c r="C97" s="53" t="s">
        <v>132</v>
      </c>
      <c r="D97" s="54" t="s">
        <v>28</v>
      </c>
      <c r="E97" s="13">
        <v>52</v>
      </c>
      <c r="F97" s="175">
        <v>52</v>
      </c>
      <c r="G97" s="174">
        <f t="shared" si="8"/>
        <v>0</v>
      </c>
      <c r="H97" s="8">
        <v>23</v>
      </c>
      <c r="I97" s="174"/>
      <c r="J97" s="174">
        <f t="shared" si="10"/>
        <v>1196</v>
      </c>
      <c r="K97" s="174">
        <f t="shared" si="9"/>
        <v>1196</v>
      </c>
      <c r="L97" s="174"/>
      <c r="M97" s="174">
        <f>G97*I97</f>
        <v>0</v>
      </c>
      <c r="N97" s="174"/>
    </row>
    <row r="98" spans="1:14" ht="12.75" hidden="1">
      <c r="A98" s="171"/>
      <c r="B98" s="37" t="s">
        <v>133</v>
      </c>
      <c r="C98" s="11" t="s">
        <v>134</v>
      </c>
      <c r="D98" s="16" t="s">
        <v>28</v>
      </c>
      <c r="E98" s="13">
        <v>192</v>
      </c>
      <c r="F98" s="175">
        <v>192</v>
      </c>
      <c r="G98" s="174">
        <f t="shared" si="8"/>
        <v>0</v>
      </c>
      <c r="H98" s="8">
        <v>21.3</v>
      </c>
      <c r="I98" s="174"/>
      <c r="J98" s="174">
        <f t="shared" si="10"/>
        <v>4089.6000000000004</v>
      </c>
      <c r="K98" s="174">
        <f t="shared" si="9"/>
        <v>4089.6000000000004</v>
      </c>
      <c r="L98" s="174"/>
      <c r="M98" s="174">
        <f>G98*I98</f>
        <v>0</v>
      </c>
      <c r="N98" s="174"/>
    </row>
    <row r="99" spans="1:14" ht="25.5">
      <c r="A99" s="171" t="s">
        <v>135</v>
      </c>
      <c r="B99" s="37" t="s">
        <v>497</v>
      </c>
      <c r="C99" s="11" t="s">
        <v>136</v>
      </c>
      <c r="D99" s="16" t="s">
        <v>7</v>
      </c>
      <c r="E99" s="13">
        <v>47</v>
      </c>
      <c r="F99" s="175"/>
      <c r="G99" s="174">
        <f t="shared" si="8"/>
        <v>47</v>
      </c>
      <c r="H99" s="8">
        <v>18</v>
      </c>
      <c r="I99" s="8">
        <v>30.88</v>
      </c>
      <c r="J99" s="174">
        <f t="shared" si="10"/>
        <v>846</v>
      </c>
      <c r="K99" s="174">
        <f t="shared" si="9"/>
        <v>0</v>
      </c>
      <c r="L99" s="174">
        <f>I99*(1+$M$11)</f>
        <v>40.144</v>
      </c>
      <c r="M99" s="174">
        <f>G99*I99</f>
        <v>1451.36</v>
      </c>
      <c r="N99" s="174">
        <f>G99*L99</f>
        <v>1886.768</v>
      </c>
    </row>
    <row r="100" spans="1:15" s="181" customFormat="1" ht="15.75">
      <c r="A100" s="178"/>
      <c r="B100" s="19"/>
      <c r="C100" s="49" t="s">
        <v>137</v>
      </c>
      <c r="D100" s="34"/>
      <c r="E100" s="50"/>
      <c r="F100" s="25"/>
      <c r="G100" s="179"/>
      <c r="H100" s="179"/>
      <c r="I100" s="179"/>
      <c r="J100" s="179">
        <f>SUM(J92:J99)</f>
        <v>39108</v>
      </c>
      <c r="K100" s="179">
        <f>SUM(K92:K99)</f>
        <v>38262</v>
      </c>
      <c r="L100" s="179"/>
      <c r="M100" s="179">
        <f>SUM(M92:M99)</f>
        <v>1451.36</v>
      </c>
      <c r="N100" s="179">
        <f>SUM(N92:N99)</f>
        <v>1886.768</v>
      </c>
      <c r="O100" s="180"/>
    </row>
    <row r="101" spans="1:14" ht="12.75">
      <c r="A101" s="171"/>
      <c r="B101" s="37"/>
      <c r="C101" s="48"/>
      <c r="D101" s="39"/>
      <c r="E101" s="51"/>
      <c r="F101" s="175"/>
      <c r="G101" s="174"/>
      <c r="H101" s="174"/>
      <c r="I101" s="174"/>
      <c r="J101" s="174"/>
      <c r="K101" s="174"/>
      <c r="L101" s="174"/>
      <c r="M101" s="174"/>
      <c r="N101" s="174"/>
    </row>
    <row r="102" spans="1:14" ht="12.75">
      <c r="A102" s="171"/>
      <c r="B102" s="23">
        <v>8</v>
      </c>
      <c r="C102" s="48" t="s">
        <v>138</v>
      </c>
      <c r="D102" s="39"/>
      <c r="E102" s="51"/>
      <c r="F102" s="175"/>
      <c r="G102" s="174"/>
      <c r="H102" s="174"/>
      <c r="I102" s="174"/>
      <c r="J102" s="174"/>
      <c r="K102" s="174"/>
      <c r="L102" s="174"/>
      <c r="M102" s="174"/>
      <c r="N102" s="174"/>
    </row>
    <row r="103" spans="1:14" ht="12.75" hidden="1">
      <c r="A103" s="171"/>
      <c r="B103" s="37" t="s">
        <v>139</v>
      </c>
      <c r="C103" s="46" t="s">
        <v>140</v>
      </c>
      <c r="D103" s="39" t="s">
        <v>7</v>
      </c>
      <c r="E103" s="51">
        <v>3056</v>
      </c>
      <c r="F103" s="175">
        <v>3056</v>
      </c>
      <c r="G103" s="174">
        <f t="shared" si="8"/>
        <v>0</v>
      </c>
      <c r="H103" s="8">
        <v>2.9</v>
      </c>
      <c r="I103" s="174"/>
      <c r="J103" s="174">
        <f aca="true" t="shared" si="11" ref="J103:J108">E103*H103</f>
        <v>8862.4</v>
      </c>
      <c r="K103" s="174">
        <f t="shared" si="9"/>
        <v>8862.4</v>
      </c>
      <c r="L103" s="174"/>
      <c r="M103" s="174">
        <f>G103*I103</f>
        <v>0</v>
      </c>
      <c r="N103" s="174"/>
    </row>
    <row r="104" spans="1:14" ht="25.5" hidden="1">
      <c r="A104" s="171"/>
      <c r="B104" s="37" t="s">
        <v>141</v>
      </c>
      <c r="C104" s="46" t="s">
        <v>142</v>
      </c>
      <c r="D104" s="39" t="s">
        <v>7</v>
      </c>
      <c r="E104" s="51">
        <v>1885</v>
      </c>
      <c r="F104" s="175">
        <v>1885</v>
      </c>
      <c r="G104" s="174">
        <f t="shared" si="8"/>
        <v>0</v>
      </c>
      <c r="H104" s="8">
        <v>9.5</v>
      </c>
      <c r="I104" s="174"/>
      <c r="J104" s="174">
        <f t="shared" si="11"/>
        <v>17907.5</v>
      </c>
      <c r="K104" s="174">
        <f t="shared" si="9"/>
        <v>17907.5</v>
      </c>
      <c r="L104" s="174"/>
      <c r="M104" s="174">
        <f>G104*I104</f>
        <v>0</v>
      </c>
      <c r="N104" s="174"/>
    </row>
    <row r="105" spans="1:14" ht="25.5">
      <c r="A105" s="171" t="s">
        <v>143</v>
      </c>
      <c r="B105" s="37" t="s">
        <v>471</v>
      </c>
      <c r="C105" s="46" t="s">
        <v>144</v>
      </c>
      <c r="D105" s="39" t="s">
        <v>7</v>
      </c>
      <c r="E105" s="51">
        <v>802</v>
      </c>
      <c r="F105" s="175">
        <v>373.3</v>
      </c>
      <c r="G105" s="174">
        <f t="shared" si="8"/>
        <v>428.7</v>
      </c>
      <c r="H105" s="8">
        <v>10</v>
      </c>
      <c r="I105" s="8">
        <v>18.62</v>
      </c>
      <c r="J105" s="174">
        <f t="shared" si="11"/>
        <v>8020</v>
      </c>
      <c r="K105" s="174">
        <f t="shared" si="9"/>
        <v>3733</v>
      </c>
      <c r="L105" s="174">
        <f>I105*(1+$M$11)</f>
        <v>24.206000000000003</v>
      </c>
      <c r="M105" s="174">
        <f>G105*I105</f>
        <v>7982.394</v>
      </c>
      <c r="N105" s="174">
        <f>G105*L105</f>
        <v>10377.112200000001</v>
      </c>
    </row>
    <row r="106" spans="1:15" ht="25.5">
      <c r="A106" s="171" t="s">
        <v>145</v>
      </c>
      <c r="B106" s="37" t="s">
        <v>472</v>
      </c>
      <c r="C106" s="46" t="s">
        <v>146</v>
      </c>
      <c r="D106" s="39" t="s">
        <v>7</v>
      </c>
      <c r="E106" s="51">
        <v>370</v>
      </c>
      <c r="F106" s="175"/>
      <c r="G106" s="174">
        <f t="shared" si="8"/>
        <v>370</v>
      </c>
      <c r="H106" s="8">
        <v>9</v>
      </c>
      <c r="I106" s="8">
        <v>17.49</v>
      </c>
      <c r="J106" s="174">
        <f t="shared" si="11"/>
        <v>3330</v>
      </c>
      <c r="K106" s="174">
        <f t="shared" si="9"/>
        <v>0</v>
      </c>
      <c r="L106" s="174">
        <f>I106*(1+$M$11)</f>
        <v>22.737</v>
      </c>
      <c r="M106" s="174">
        <f>G106*I106</f>
        <v>6471.299999999999</v>
      </c>
      <c r="N106" s="174">
        <f>G106*L106</f>
        <v>8412.689999999999</v>
      </c>
      <c r="O106" s="177"/>
    </row>
    <row r="107" spans="1:14" ht="25.5">
      <c r="A107" s="171" t="s">
        <v>147</v>
      </c>
      <c r="B107" s="37" t="s">
        <v>467</v>
      </c>
      <c r="C107" s="46" t="s">
        <v>148</v>
      </c>
      <c r="D107" s="39" t="s">
        <v>7</v>
      </c>
      <c r="E107" s="51">
        <v>370</v>
      </c>
      <c r="F107" s="175"/>
      <c r="G107" s="174">
        <f t="shared" si="8"/>
        <v>370</v>
      </c>
      <c r="H107" s="8">
        <v>23</v>
      </c>
      <c r="I107" s="8">
        <v>31.17</v>
      </c>
      <c r="J107" s="174">
        <f t="shared" si="11"/>
        <v>8510</v>
      </c>
      <c r="K107" s="174">
        <f t="shared" si="9"/>
        <v>0</v>
      </c>
      <c r="L107" s="174">
        <f>I107*(1+$M$11)</f>
        <v>40.521</v>
      </c>
      <c r="M107" s="174">
        <f>G107*I107</f>
        <v>11532.900000000001</v>
      </c>
      <c r="N107" s="174">
        <f>G107*L107</f>
        <v>14992.77</v>
      </c>
    </row>
    <row r="108" spans="1:14" ht="12.75">
      <c r="A108" s="171" t="s">
        <v>466</v>
      </c>
      <c r="B108" s="37" t="s">
        <v>510</v>
      </c>
      <c r="C108" s="46" t="s">
        <v>149</v>
      </c>
      <c r="D108" s="39" t="s">
        <v>7</v>
      </c>
      <c r="E108" s="51">
        <v>23</v>
      </c>
      <c r="F108" s="175"/>
      <c r="G108" s="174">
        <f t="shared" si="8"/>
        <v>23</v>
      </c>
      <c r="H108" s="8">
        <v>12</v>
      </c>
      <c r="I108" s="8">
        <v>22</v>
      </c>
      <c r="J108" s="174">
        <f t="shared" si="11"/>
        <v>276</v>
      </c>
      <c r="K108" s="174">
        <f t="shared" si="9"/>
        <v>0</v>
      </c>
      <c r="L108" s="174">
        <f>I108*(1+$M$11)</f>
        <v>28.6</v>
      </c>
      <c r="M108" s="174">
        <f>G108*I108</f>
        <v>506</v>
      </c>
      <c r="N108" s="174">
        <f>G108*L108</f>
        <v>657.8000000000001</v>
      </c>
    </row>
    <row r="109" spans="1:15" s="181" customFormat="1" ht="15.75">
      <c r="A109" s="178"/>
      <c r="B109" s="19"/>
      <c r="C109" s="49" t="s">
        <v>150</v>
      </c>
      <c r="D109" s="34"/>
      <c r="E109" s="50"/>
      <c r="F109" s="25"/>
      <c r="G109" s="179"/>
      <c r="H109" s="179"/>
      <c r="I109" s="179"/>
      <c r="J109" s="179">
        <f>SUM(J103:J108)</f>
        <v>46905.9</v>
      </c>
      <c r="K109" s="179">
        <f>SUM(K103:K108)</f>
        <v>30502.9</v>
      </c>
      <c r="L109" s="179"/>
      <c r="M109" s="179">
        <f>SUM(M103:M108)</f>
        <v>26492.594</v>
      </c>
      <c r="N109" s="179">
        <f>SUM(N103:N108)</f>
        <v>34440.3722</v>
      </c>
      <c r="O109" s="180"/>
    </row>
    <row r="110" spans="1:14" ht="12.75">
      <c r="A110" s="171"/>
      <c r="B110" s="37"/>
      <c r="C110" s="47"/>
      <c r="D110" s="39"/>
      <c r="E110" s="51"/>
      <c r="F110" s="175"/>
      <c r="G110" s="174"/>
      <c r="H110" s="174"/>
      <c r="I110" s="174"/>
      <c r="J110" s="174"/>
      <c r="K110" s="174"/>
      <c r="L110" s="174"/>
      <c r="M110" s="174"/>
      <c r="N110" s="174"/>
    </row>
    <row r="111" spans="1:14" ht="12.75">
      <c r="A111" s="171"/>
      <c r="B111" s="23">
        <v>9</v>
      </c>
      <c r="C111" s="48" t="s">
        <v>151</v>
      </c>
      <c r="D111" s="55"/>
      <c r="E111" s="56"/>
      <c r="F111" s="175"/>
      <c r="G111" s="174"/>
      <c r="H111" s="174"/>
      <c r="I111" s="174"/>
      <c r="J111" s="174"/>
      <c r="K111" s="174"/>
      <c r="L111" s="174"/>
      <c r="M111" s="174"/>
      <c r="N111" s="174"/>
    </row>
    <row r="112" spans="1:14" ht="12.75">
      <c r="A112" s="171" t="s">
        <v>152</v>
      </c>
      <c r="B112" s="37" t="s">
        <v>464</v>
      </c>
      <c r="C112" s="46" t="s">
        <v>153</v>
      </c>
      <c r="D112" s="39" t="s">
        <v>7</v>
      </c>
      <c r="E112" s="13">
        <v>608</v>
      </c>
      <c r="F112" s="175"/>
      <c r="G112" s="174">
        <f t="shared" si="8"/>
        <v>608</v>
      </c>
      <c r="H112" s="8">
        <v>10.7</v>
      </c>
      <c r="I112" s="8">
        <v>23.69</v>
      </c>
      <c r="J112" s="174">
        <f>E112*H112</f>
        <v>6505.599999999999</v>
      </c>
      <c r="K112" s="174">
        <f t="shared" si="9"/>
        <v>0</v>
      </c>
      <c r="L112" s="174">
        <f>I112*(1+$M$11)</f>
        <v>30.797000000000004</v>
      </c>
      <c r="M112" s="174">
        <f>G112*I112</f>
        <v>14403.52</v>
      </c>
      <c r="N112" s="174">
        <f>G112*L112</f>
        <v>18724.576</v>
      </c>
    </row>
    <row r="113" spans="1:14" ht="25.5">
      <c r="A113" s="171" t="s">
        <v>154</v>
      </c>
      <c r="B113" s="37" t="s">
        <v>477</v>
      </c>
      <c r="C113" s="108" t="s">
        <v>155</v>
      </c>
      <c r="D113" s="12" t="s">
        <v>16</v>
      </c>
      <c r="E113" s="13">
        <v>530</v>
      </c>
      <c r="F113" s="175"/>
      <c r="G113" s="174">
        <f t="shared" si="8"/>
        <v>530</v>
      </c>
      <c r="H113" s="8">
        <v>4.8</v>
      </c>
      <c r="I113" s="8">
        <v>9.09</v>
      </c>
      <c r="J113" s="174">
        <f>E113*H113</f>
        <v>2544</v>
      </c>
      <c r="K113" s="174">
        <f t="shared" si="9"/>
        <v>0</v>
      </c>
      <c r="L113" s="174">
        <f>I113*(1+$M$11)</f>
        <v>11.817</v>
      </c>
      <c r="M113" s="174">
        <f>G113*I113</f>
        <v>4817.7</v>
      </c>
      <c r="N113" s="174">
        <f>G113*L113</f>
        <v>6263.01</v>
      </c>
    </row>
    <row r="114" spans="1:14" ht="25.5">
      <c r="A114" s="171" t="s">
        <v>156</v>
      </c>
      <c r="B114" s="37" t="s">
        <v>462</v>
      </c>
      <c r="C114" s="46" t="s">
        <v>157</v>
      </c>
      <c r="D114" s="39" t="s">
        <v>7</v>
      </c>
      <c r="E114" s="13">
        <v>530</v>
      </c>
      <c r="F114" s="175"/>
      <c r="G114" s="174">
        <f t="shared" si="8"/>
        <v>530</v>
      </c>
      <c r="H114" s="8">
        <v>29.7</v>
      </c>
      <c r="I114" s="8">
        <v>46.4</v>
      </c>
      <c r="J114" s="174">
        <f>E114*H114</f>
        <v>15741</v>
      </c>
      <c r="K114" s="174">
        <f t="shared" si="9"/>
        <v>0</v>
      </c>
      <c r="L114" s="174">
        <f>I114*(1+$M$11)</f>
        <v>60.32</v>
      </c>
      <c r="M114" s="174">
        <f>G114*I114</f>
        <v>24592</v>
      </c>
      <c r="N114" s="174">
        <f>G114*L114</f>
        <v>31969.6</v>
      </c>
    </row>
    <row r="115" spans="1:14" ht="25.5">
      <c r="A115" s="171" t="s">
        <v>158</v>
      </c>
      <c r="B115" s="37" t="s">
        <v>478</v>
      </c>
      <c r="C115" s="10" t="s">
        <v>159</v>
      </c>
      <c r="D115" s="39" t="s">
        <v>7</v>
      </c>
      <c r="E115" s="51">
        <v>164</v>
      </c>
      <c r="F115" s="175"/>
      <c r="G115" s="174">
        <f t="shared" si="8"/>
        <v>164</v>
      </c>
      <c r="H115" s="8">
        <v>14.5</v>
      </c>
      <c r="I115" s="8">
        <v>29.29</v>
      </c>
      <c r="J115" s="174">
        <f>E115*H115</f>
        <v>2378</v>
      </c>
      <c r="K115" s="174">
        <f t="shared" si="9"/>
        <v>0</v>
      </c>
      <c r="L115" s="174">
        <f>I115*(1+$M$11)</f>
        <v>38.077</v>
      </c>
      <c r="M115" s="174">
        <f>G115*I115</f>
        <v>4803.5599999999995</v>
      </c>
      <c r="N115" s="174">
        <f>G115*L115</f>
        <v>6244.628</v>
      </c>
    </row>
    <row r="116" spans="1:14" ht="12.75">
      <c r="A116" s="171" t="s">
        <v>160</v>
      </c>
      <c r="B116" s="37" t="s">
        <v>476</v>
      </c>
      <c r="C116" s="32" t="s">
        <v>161</v>
      </c>
      <c r="D116" s="39" t="s">
        <v>28</v>
      </c>
      <c r="E116" s="51">
        <v>533</v>
      </c>
      <c r="F116" s="175"/>
      <c r="G116" s="174">
        <f t="shared" si="8"/>
        <v>533</v>
      </c>
      <c r="H116" s="8">
        <v>6</v>
      </c>
      <c r="I116" s="8">
        <v>8.32</v>
      </c>
      <c r="J116" s="174">
        <f>E116*H116</f>
        <v>3198</v>
      </c>
      <c r="K116" s="174">
        <f t="shared" si="9"/>
        <v>0</v>
      </c>
      <c r="L116" s="174">
        <f>I116*(1+$M$11)</f>
        <v>10.816</v>
      </c>
      <c r="M116" s="174">
        <f>G116*I116</f>
        <v>4434.56</v>
      </c>
      <c r="N116" s="174">
        <f>G116*L116</f>
        <v>5764.928000000001</v>
      </c>
    </row>
    <row r="117" spans="1:15" s="181" customFormat="1" ht="15.75">
      <c r="A117" s="178"/>
      <c r="B117" s="19"/>
      <c r="C117" s="49" t="s">
        <v>162</v>
      </c>
      <c r="D117" s="34"/>
      <c r="E117" s="50"/>
      <c r="F117" s="25"/>
      <c r="G117" s="179"/>
      <c r="H117" s="179"/>
      <c r="I117" s="179"/>
      <c r="J117" s="179">
        <f>SUM(J112:J116)</f>
        <v>30366.6</v>
      </c>
      <c r="K117" s="179">
        <f>SUM(K112:K116)</f>
        <v>0</v>
      </c>
      <c r="L117" s="179"/>
      <c r="M117" s="179">
        <f>SUM(M112:M116)</f>
        <v>53051.34</v>
      </c>
      <c r="N117" s="179">
        <f>SUM(N112:N116)</f>
        <v>68966.742</v>
      </c>
      <c r="O117" s="180"/>
    </row>
    <row r="118" spans="1:14" ht="12.75">
      <c r="A118" s="171"/>
      <c r="B118" s="37"/>
      <c r="C118" s="17"/>
      <c r="D118" s="39"/>
      <c r="E118" s="8"/>
      <c r="F118" s="175"/>
      <c r="G118" s="174"/>
      <c r="H118" s="174"/>
      <c r="I118" s="174"/>
      <c r="J118" s="174"/>
      <c r="K118" s="174"/>
      <c r="L118" s="174"/>
      <c r="M118" s="174"/>
      <c r="N118" s="174"/>
    </row>
    <row r="119" spans="1:14" ht="12.75">
      <c r="A119" s="171"/>
      <c r="B119" s="26">
        <v>10</v>
      </c>
      <c r="C119" s="27" t="s">
        <v>163</v>
      </c>
      <c r="D119" s="31"/>
      <c r="E119" s="51"/>
      <c r="F119" s="175"/>
      <c r="G119" s="174"/>
      <c r="H119" s="174"/>
      <c r="I119" s="174"/>
      <c r="J119" s="174"/>
      <c r="K119" s="174"/>
      <c r="L119" s="174"/>
      <c r="M119" s="174"/>
      <c r="N119" s="174"/>
    </row>
    <row r="120" spans="1:14" ht="12.75">
      <c r="A120" s="171" t="s">
        <v>164</v>
      </c>
      <c r="B120" s="37" t="s">
        <v>470</v>
      </c>
      <c r="C120" s="108" t="s">
        <v>165</v>
      </c>
      <c r="D120" s="39" t="s">
        <v>7</v>
      </c>
      <c r="E120" s="51">
        <v>526</v>
      </c>
      <c r="F120" s="175"/>
      <c r="G120" s="174">
        <f t="shared" si="8"/>
        <v>526</v>
      </c>
      <c r="H120" s="8">
        <v>9</v>
      </c>
      <c r="I120" s="8">
        <v>15.26</v>
      </c>
      <c r="J120" s="174">
        <f>E120*H120</f>
        <v>4734</v>
      </c>
      <c r="K120" s="174">
        <f t="shared" si="9"/>
        <v>0</v>
      </c>
      <c r="L120" s="174">
        <f>I120*(1+$M$11)</f>
        <v>19.838</v>
      </c>
      <c r="M120" s="174">
        <f>G120*I120</f>
        <v>8026.76</v>
      </c>
      <c r="N120" s="174">
        <f>G120*L120</f>
        <v>10434.788</v>
      </c>
    </row>
    <row r="121" spans="1:14" ht="12.75">
      <c r="A121" s="171" t="s">
        <v>166</v>
      </c>
      <c r="B121" s="37" t="s">
        <v>463</v>
      </c>
      <c r="C121" s="108" t="s">
        <v>167</v>
      </c>
      <c r="D121" s="39" t="s">
        <v>7</v>
      </c>
      <c r="E121" s="51">
        <v>1359</v>
      </c>
      <c r="F121" s="175"/>
      <c r="G121" s="174">
        <f t="shared" si="8"/>
        <v>1359</v>
      </c>
      <c r="H121" s="8">
        <v>12.3</v>
      </c>
      <c r="I121" s="8">
        <v>17.96</v>
      </c>
      <c r="J121" s="174">
        <f>E121*H121</f>
        <v>16715.7</v>
      </c>
      <c r="K121" s="174">
        <f t="shared" si="9"/>
        <v>0</v>
      </c>
      <c r="L121" s="174">
        <f>I121*(1+$M$11)</f>
        <v>23.348000000000003</v>
      </c>
      <c r="M121" s="174">
        <f>G121*I121</f>
        <v>24407.64</v>
      </c>
      <c r="N121" s="174">
        <f>G121*L121</f>
        <v>31729.932000000004</v>
      </c>
    </row>
    <row r="122" spans="1:14" ht="25.5">
      <c r="A122" s="171" t="s">
        <v>168</v>
      </c>
      <c r="B122" s="37" t="s">
        <v>469</v>
      </c>
      <c r="C122" s="108" t="s">
        <v>169</v>
      </c>
      <c r="D122" s="39" t="s">
        <v>7</v>
      </c>
      <c r="E122" s="51">
        <v>802</v>
      </c>
      <c r="F122" s="175"/>
      <c r="G122" s="174">
        <f t="shared" si="8"/>
        <v>802</v>
      </c>
      <c r="H122" s="8">
        <v>7</v>
      </c>
      <c r="I122" s="8">
        <v>10.38</v>
      </c>
      <c r="J122" s="174">
        <f>E122*H122</f>
        <v>5614</v>
      </c>
      <c r="K122" s="174">
        <f t="shared" si="9"/>
        <v>0</v>
      </c>
      <c r="L122" s="174">
        <f>I122*(1+$M$11)</f>
        <v>13.494000000000002</v>
      </c>
      <c r="M122" s="174">
        <f>G122*I122</f>
        <v>8324.76</v>
      </c>
      <c r="N122" s="174">
        <f>G122*L122</f>
        <v>10822.188000000002</v>
      </c>
    </row>
    <row r="123" spans="1:14" ht="12.75">
      <c r="A123" s="171" t="s">
        <v>170</v>
      </c>
      <c r="B123" s="37" t="s">
        <v>491</v>
      </c>
      <c r="C123" s="46" t="s">
        <v>171</v>
      </c>
      <c r="D123" s="39" t="s">
        <v>7</v>
      </c>
      <c r="E123" s="51">
        <v>157</v>
      </c>
      <c r="F123" s="175"/>
      <c r="G123" s="174">
        <f t="shared" si="8"/>
        <v>157</v>
      </c>
      <c r="H123" s="8">
        <v>10.5</v>
      </c>
      <c r="I123" s="8">
        <v>15.78</v>
      </c>
      <c r="J123" s="174">
        <f>E123*H123</f>
        <v>1648.5</v>
      </c>
      <c r="K123" s="174">
        <f t="shared" si="9"/>
        <v>0</v>
      </c>
      <c r="L123" s="174">
        <f>I123*(1+$M$11)</f>
        <v>20.514</v>
      </c>
      <c r="M123" s="174">
        <f>G123*I123</f>
        <v>2477.46</v>
      </c>
      <c r="N123" s="174">
        <f>G123*L123</f>
        <v>3220.698</v>
      </c>
    </row>
    <row r="124" spans="1:14" ht="12.75">
      <c r="A124" s="171" t="s">
        <v>172</v>
      </c>
      <c r="B124" s="37" t="s">
        <v>482</v>
      </c>
      <c r="C124" s="46" t="s">
        <v>173</v>
      </c>
      <c r="D124" s="39" t="s">
        <v>7</v>
      </c>
      <c r="E124" s="51">
        <v>178</v>
      </c>
      <c r="F124" s="175"/>
      <c r="G124" s="174">
        <f t="shared" si="8"/>
        <v>178</v>
      </c>
      <c r="H124" s="8">
        <v>14.5</v>
      </c>
      <c r="I124" s="8">
        <v>15.67</v>
      </c>
      <c r="J124" s="174">
        <f>E124*H124</f>
        <v>2581</v>
      </c>
      <c r="K124" s="174">
        <f t="shared" si="9"/>
        <v>0</v>
      </c>
      <c r="L124" s="174">
        <f>I124*(1+$M$11)</f>
        <v>20.371000000000002</v>
      </c>
      <c r="M124" s="174">
        <f>G124*I124</f>
        <v>2789.2599999999998</v>
      </c>
      <c r="N124" s="174">
        <f>G124*L124</f>
        <v>3626.0380000000005</v>
      </c>
    </row>
    <row r="125" spans="1:15" s="181" customFormat="1" ht="15.75">
      <c r="A125" s="178"/>
      <c r="B125" s="19"/>
      <c r="C125" s="49" t="s">
        <v>174</v>
      </c>
      <c r="D125" s="34"/>
      <c r="E125" s="50"/>
      <c r="F125" s="25"/>
      <c r="G125" s="179"/>
      <c r="H125" s="179"/>
      <c r="I125" s="179"/>
      <c r="J125" s="179">
        <f>SUM(J120:J124)</f>
        <v>31293.2</v>
      </c>
      <c r="K125" s="179">
        <f>SUM(K120:K124)</f>
        <v>0</v>
      </c>
      <c r="L125" s="179"/>
      <c r="M125" s="179">
        <f>SUM(M120:M124)</f>
        <v>46025.880000000005</v>
      </c>
      <c r="N125" s="179">
        <f>SUM(N120:N124)</f>
        <v>59833.644</v>
      </c>
      <c r="O125" s="180"/>
    </row>
    <row r="126" spans="1:14" ht="12.75">
      <c r="A126" s="171"/>
      <c r="B126" s="37"/>
      <c r="C126" s="17"/>
      <c r="D126" s="39"/>
      <c r="E126" s="8"/>
      <c r="F126" s="175"/>
      <c r="G126" s="174"/>
      <c r="H126" s="174"/>
      <c r="I126" s="174"/>
      <c r="J126" s="174"/>
      <c r="K126" s="174"/>
      <c r="L126" s="174"/>
      <c r="M126" s="174"/>
      <c r="N126" s="174"/>
    </row>
    <row r="127" spans="1:14" ht="12.75">
      <c r="A127" s="171"/>
      <c r="B127" s="23">
        <v>11</v>
      </c>
      <c r="C127" s="24" t="s">
        <v>175</v>
      </c>
      <c r="D127" s="28"/>
      <c r="E127" s="36"/>
      <c r="F127" s="175"/>
      <c r="G127" s="174"/>
      <c r="H127" s="174"/>
      <c r="I127" s="174"/>
      <c r="J127" s="174"/>
      <c r="K127" s="174"/>
      <c r="L127" s="174"/>
      <c r="M127" s="174"/>
      <c r="N127" s="174"/>
    </row>
    <row r="128" spans="1:14" ht="12.75">
      <c r="A128" s="171"/>
      <c r="B128" s="23" t="s">
        <v>176</v>
      </c>
      <c r="C128" s="57" t="s">
        <v>177</v>
      </c>
      <c r="D128" s="58"/>
      <c r="E128" s="7"/>
      <c r="F128" s="175"/>
      <c r="G128" s="174"/>
      <c r="H128" s="174"/>
      <c r="I128" s="174"/>
      <c r="J128" s="174"/>
      <c r="K128" s="174"/>
      <c r="L128" s="174"/>
      <c r="M128" s="174"/>
      <c r="N128" s="174"/>
    </row>
    <row r="129" spans="1:14" ht="12.75">
      <c r="A129" s="171" t="s">
        <v>178</v>
      </c>
      <c r="B129" s="37" t="s">
        <v>575</v>
      </c>
      <c r="C129" s="59" t="s">
        <v>179</v>
      </c>
      <c r="D129" s="58" t="s">
        <v>180</v>
      </c>
      <c r="E129" s="7">
        <v>1</v>
      </c>
      <c r="F129" s="175"/>
      <c r="G129" s="174">
        <f t="shared" si="8"/>
        <v>1</v>
      </c>
      <c r="H129" s="8">
        <v>10</v>
      </c>
      <c r="I129" s="8">
        <v>11.62</v>
      </c>
      <c r="J129" s="174">
        <f aca="true" t="shared" si="12" ref="J129:J192">E129*H129</f>
        <v>10</v>
      </c>
      <c r="K129" s="174">
        <f t="shared" si="9"/>
        <v>0</v>
      </c>
      <c r="L129" s="174">
        <f aca="true" t="shared" si="13" ref="L129:L144">I129*(1+$M$11)</f>
        <v>15.106</v>
      </c>
      <c r="M129" s="174">
        <f aca="true" t="shared" si="14" ref="M129:M144">G129*I129</f>
        <v>11.62</v>
      </c>
      <c r="N129" s="174">
        <f aca="true" t="shared" si="15" ref="N129:N144">G129*L129</f>
        <v>15.106</v>
      </c>
    </row>
    <row r="130" spans="1:14" ht="12.75">
      <c r="A130" s="171" t="s">
        <v>181</v>
      </c>
      <c r="B130" s="37" t="s">
        <v>532</v>
      </c>
      <c r="C130" s="59" t="s">
        <v>182</v>
      </c>
      <c r="D130" s="58" t="s">
        <v>28</v>
      </c>
      <c r="E130" s="7">
        <v>2</v>
      </c>
      <c r="F130" s="175"/>
      <c r="G130" s="174">
        <f t="shared" si="8"/>
        <v>2</v>
      </c>
      <c r="H130" s="8">
        <v>87.6</v>
      </c>
      <c r="I130" s="8">
        <v>40.12</v>
      </c>
      <c r="J130" s="174">
        <f t="shared" si="12"/>
        <v>175.2</v>
      </c>
      <c r="K130" s="174">
        <f t="shared" si="9"/>
        <v>0</v>
      </c>
      <c r="L130" s="174">
        <f t="shared" si="13"/>
        <v>52.156</v>
      </c>
      <c r="M130" s="174">
        <f t="shared" si="14"/>
        <v>80.24</v>
      </c>
      <c r="N130" s="174">
        <f t="shared" si="15"/>
        <v>104.312</v>
      </c>
    </row>
    <row r="131" spans="1:14" ht="12.75">
      <c r="A131" s="171" t="s">
        <v>183</v>
      </c>
      <c r="B131" s="37" t="s">
        <v>505</v>
      </c>
      <c r="C131" s="10" t="s">
        <v>184</v>
      </c>
      <c r="D131" s="58" t="s">
        <v>180</v>
      </c>
      <c r="E131" s="7">
        <v>6</v>
      </c>
      <c r="F131" s="175"/>
      <c r="G131" s="174">
        <f t="shared" si="8"/>
        <v>6</v>
      </c>
      <c r="H131" s="8">
        <v>21.2</v>
      </c>
      <c r="I131" s="8">
        <v>105.78</v>
      </c>
      <c r="J131" s="174">
        <f t="shared" si="12"/>
        <v>127.19999999999999</v>
      </c>
      <c r="K131" s="174">
        <f t="shared" si="9"/>
        <v>0</v>
      </c>
      <c r="L131" s="174">
        <f t="shared" si="13"/>
        <v>137.514</v>
      </c>
      <c r="M131" s="174">
        <f t="shared" si="14"/>
        <v>634.6800000000001</v>
      </c>
      <c r="N131" s="174">
        <f t="shared" si="15"/>
        <v>825.0840000000001</v>
      </c>
    </row>
    <row r="132" spans="1:14" ht="12.75">
      <c r="A132" s="171" t="s">
        <v>185</v>
      </c>
      <c r="B132" s="37" t="s">
        <v>574</v>
      </c>
      <c r="C132" s="10" t="s">
        <v>186</v>
      </c>
      <c r="D132" s="58" t="s">
        <v>28</v>
      </c>
      <c r="E132" s="7">
        <v>1.3</v>
      </c>
      <c r="F132" s="175"/>
      <c r="G132" s="174">
        <f t="shared" si="8"/>
        <v>1.3</v>
      </c>
      <c r="H132" s="8">
        <v>3.1</v>
      </c>
      <c r="I132" s="8">
        <f>9.24</f>
        <v>9.24</v>
      </c>
      <c r="J132" s="174">
        <f t="shared" si="12"/>
        <v>4.03</v>
      </c>
      <c r="K132" s="174">
        <f t="shared" si="9"/>
        <v>0</v>
      </c>
      <c r="L132" s="174">
        <f t="shared" si="13"/>
        <v>12.012</v>
      </c>
      <c r="M132" s="174">
        <f t="shared" si="14"/>
        <v>12.012</v>
      </c>
      <c r="N132" s="174">
        <f t="shared" si="15"/>
        <v>15.6156</v>
      </c>
    </row>
    <row r="133" spans="1:14" ht="12.75">
      <c r="A133" s="171" t="s">
        <v>187</v>
      </c>
      <c r="B133" s="37" t="s">
        <v>560</v>
      </c>
      <c r="C133" s="10" t="s">
        <v>188</v>
      </c>
      <c r="D133" s="58" t="s">
        <v>180</v>
      </c>
      <c r="E133" s="7">
        <v>1</v>
      </c>
      <c r="F133" s="175"/>
      <c r="G133" s="174">
        <f t="shared" si="8"/>
        <v>1</v>
      </c>
      <c r="H133" s="8">
        <v>28.9</v>
      </c>
      <c r="I133" s="8">
        <v>56.09</v>
      </c>
      <c r="J133" s="174">
        <f t="shared" si="12"/>
        <v>28.9</v>
      </c>
      <c r="K133" s="174">
        <f t="shared" si="9"/>
        <v>0</v>
      </c>
      <c r="L133" s="174">
        <f t="shared" si="13"/>
        <v>72.917</v>
      </c>
      <c r="M133" s="174">
        <f t="shared" si="14"/>
        <v>56.09</v>
      </c>
      <c r="N133" s="174">
        <f t="shared" si="15"/>
        <v>72.917</v>
      </c>
    </row>
    <row r="134" spans="1:14" ht="12.75">
      <c r="A134" s="171" t="s">
        <v>189</v>
      </c>
      <c r="B134" s="37" t="s">
        <v>542</v>
      </c>
      <c r="C134" s="10" t="s">
        <v>190</v>
      </c>
      <c r="D134" s="58" t="s">
        <v>180</v>
      </c>
      <c r="E134" s="7">
        <v>3</v>
      </c>
      <c r="F134" s="175"/>
      <c r="G134" s="174">
        <f t="shared" si="8"/>
        <v>3</v>
      </c>
      <c r="H134" s="8">
        <v>10.4</v>
      </c>
      <c r="I134" s="8">
        <v>52.64</v>
      </c>
      <c r="J134" s="174">
        <f t="shared" si="12"/>
        <v>31.200000000000003</v>
      </c>
      <c r="K134" s="174">
        <f t="shared" si="9"/>
        <v>0</v>
      </c>
      <c r="L134" s="174">
        <f t="shared" si="13"/>
        <v>68.432</v>
      </c>
      <c r="M134" s="174">
        <f t="shared" si="14"/>
        <v>157.92000000000002</v>
      </c>
      <c r="N134" s="174">
        <f t="shared" si="15"/>
        <v>205.296</v>
      </c>
    </row>
    <row r="135" spans="1:14" ht="12.75">
      <c r="A135" s="171" t="s">
        <v>191</v>
      </c>
      <c r="B135" s="37" t="s">
        <v>577</v>
      </c>
      <c r="C135" s="10" t="s">
        <v>192</v>
      </c>
      <c r="D135" s="58" t="s">
        <v>193</v>
      </c>
      <c r="E135" s="7">
        <v>3</v>
      </c>
      <c r="F135" s="175"/>
      <c r="G135" s="174">
        <f t="shared" si="8"/>
        <v>3</v>
      </c>
      <c r="H135" s="8">
        <v>3.7</v>
      </c>
      <c r="I135" s="174">
        <v>0.56</v>
      </c>
      <c r="J135" s="174">
        <f t="shared" si="12"/>
        <v>11.100000000000001</v>
      </c>
      <c r="K135" s="174">
        <f t="shared" si="9"/>
        <v>0</v>
      </c>
      <c r="L135" s="174">
        <f t="shared" si="13"/>
        <v>0.7280000000000001</v>
      </c>
      <c r="M135" s="174">
        <f t="shared" si="14"/>
        <v>1.6800000000000002</v>
      </c>
      <c r="N135" s="174">
        <f t="shared" si="15"/>
        <v>2.184</v>
      </c>
    </row>
    <row r="136" spans="1:14" ht="12.75">
      <c r="A136" s="171" t="s">
        <v>194</v>
      </c>
      <c r="B136" s="37" t="s">
        <v>568</v>
      </c>
      <c r="C136" s="10" t="s">
        <v>195</v>
      </c>
      <c r="D136" s="58" t="s">
        <v>193</v>
      </c>
      <c r="E136" s="7">
        <f>3+6+48</f>
        <v>57</v>
      </c>
      <c r="F136" s="175"/>
      <c r="G136" s="174">
        <f t="shared" si="8"/>
        <v>57</v>
      </c>
      <c r="H136" s="8">
        <v>0.6</v>
      </c>
      <c r="I136" s="8">
        <v>0.56</v>
      </c>
      <c r="J136" s="174">
        <f t="shared" si="12"/>
        <v>34.199999999999996</v>
      </c>
      <c r="K136" s="174">
        <f t="shared" si="9"/>
        <v>0</v>
      </c>
      <c r="L136" s="174">
        <f t="shared" si="13"/>
        <v>0.7280000000000001</v>
      </c>
      <c r="M136" s="174">
        <f t="shared" si="14"/>
        <v>31.92</v>
      </c>
      <c r="N136" s="174">
        <f t="shared" si="15"/>
        <v>41.496</v>
      </c>
    </row>
    <row r="137" spans="1:14" ht="12.75">
      <c r="A137" s="171" t="s">
        <v>196</v>
      </c>
      <c r="B137" s="37" t="s">
        <v>475</v>
      </c>
      <c r="C137" s="59" t="s">
        <v>197</v>
      </c>
      <c r="D137" s="58" t="s">
        <v>28</v>
      </c>
      <c r="E137" s="7">
        <v>178</v>
      </c>
      <c r="F137" s="175"/>
      <c r="G137" s="174">
        <f t="shared" si="8"/>
        <v>178</v>
      </c>
      <c r="H137" s="8">
        <v>18.8</v>
      </c>
      <c r="I137" s="8">
        <v>29.56</v>
      </c>
      <c r="J137" s="174">
        <f t="shared" si="12"/>
        <v>3346.4</v>
      </c>
      <c r="K137" s="174">
        <f t="shared" si="9"/>
        <v>0</v>
      </c>
      <c r="L137" s="174">
        <f t="shared" si="13"/>
        <v>38.428</v>
      </c>
      <c r="M137" s="174">
        <f t="shared" si="14"/>
        <v>5261.679999999999</v>
      </c>
      <c r="N137" s="174">
        <f t="shared" si="15"/>
        <v>6840.183999999999</v>
      </c>
    </row>
    <row r="138" spans="1:14" ht="12.75">
      <c r="A138" s="171" t="s">
        <v>198</v>
      </c>
      <c r="B138" s="37" t="s">
        <v>498</v>
      </c>
      <c r="C138" s="59" t="s">
        <v>455</v>
      </c>
      <c r="D138" s="58" t="s">
        <v>28</v>
      </c>
      <c r="E138" s="7">
        <v>85</v>
      </c>
      <c r="F138" s="175"/>
      <c r="G138" s="174">
        <f t="shared" si="8"/>
        <v>85</v>
      </c>
      <c r="H138" s="8">
        <v>8.3</v>
      </c>
      <c r="I138" s="8">
        <v>15.79</v>
      </c>
      <c r="J138" s="174">
        <f t="shared" si="12"/>
        <v>705.5000000000001</v>
      </c>
      <c r="K138" s="174">
        <f t="shared" si="9"/>
        <v>0</v>
      </c>
      <c r="L138" s="174">
        <f t="shared" si="13"/>
        <v>20.527</v>
      </c>
      <c r="M138" s="174">
        <f t="shared" si="14"/>
        <v>1342.1499999999999</v>
      </c>
      <c r="N138" s="174">
        <f t="shared" si="15"/>
        <v>1744.795</v>
      </c>
    </row>
    <row r="139" spans="1:14" ht="12.75">
      <c r="A139" s="171" t="s">
        <v>199</v>
      </c>
      <c r="B139" s="37" t="s">
        <v>578</v>
      </c>
      <c r="C139" s="10" t="s">
        <v>200</v>
      </c>
      <c r="D139" s="58" t="s">
        <v>41</v>
      </c>
      <c r="E139" s="7">
        <v>0.5</v>
      </c>
      <c r="F139" s="175"/>
      <c r="G139" s="174">
        <f t="shared" si="8"/>
        <v>0.5</v>
      </c>
      <c r="H139" s="8">
        <v>10.4</v>
      </c>
      <c r="I139" s="8">
        <v>8.2</v>
      </c>
      <c r="J139" s="174">
        <f t="shared" si="12"/>
        <v>5.2</v>
      </c>
      <c r="K139" s="174">
        <f t="shared" si="9"/>
        <v>0</v>
      </c>
      <c r="L139" s="174">
        <f t="shared" si="13"/>
        <v>10.66</v>
      </c>
      <c r="M139" s="174">
        <f t="shared" si="14"/>
        <v>4.1</v>
      </c>
      <c r="N139" s="174">
        <f t="shared" si="15"/>
        <v>5.33</v>
      </c>
    </row>
    <row r="140" spans="1:14" ht="12.75">
      <c r="A140" s="171" t="s">
        <v>201</v>
      </c>
      <c r="B140" s="37" t="s">
        <v>509</v>
      </c>
      <c r="C140" s="10" t="s">
        <v>202</v>
      </c>
      <c r="D140" s="58" t="s">
        <v>180</v>
      </c>
      <c r="E140" s="7">
        <v>1</v>
      </c>
      <c r="F140" s="175"/>
      <c r="G140" s="174">
        <f t="shared" si="8"/>
        <v>1</v>
      </c>
      <c r="H140" s="8">
        <v>155.7</v>
      </c>
      <c r="I140" s="8">
        <v>543.76</v>
      </c>
      <c r="J140" s="174">
        <f t="shared" si="12"/>
        <v>155.7</v>
      </c>
      <c r="K140" s="174">
        <f t="shared" si="9"/>
        <v>0</v>
      </c>
      <c r="L140" s="174">
        <f t="shared" si="13"/>
        <v>706.888</v>
      </c>
      <c r="M140" s="174">
        <f t="shared" si="14"/>
        <v>543.76</v>
      </c>
      <c r="N140" s="174">
        <f t="shared" si="15"/>
        <v>706.888</v>
      </c>
    </row>
    <row r="141" spans="1:14" ht="12.75">
      <c r="A141" s="171" t="s">
        <v>203</v>
      </c>
      <c r="B141" s="37" t="s">
        <v>552</v>
      </c>
      <c r="C141" s="10" t="s">
        <v>204</v>
      </c>
      <c r="D141" s="58" t="s">
        <v>180</v>
      </c>
      <c r="E141" s="7">
        <v>1</v>
      </c>
      <c r="F141" s="175"/>
      <c r="G141" s="174">
        <f t="shared" si="8"/>
        <v>1</v>
      </c>
      <c r="H141" s="8">
        <v>161.3</v>
      </c>
      <c r="I141" s="8">
        <v>109.33</v>
      </c>
      <c r="J141" s="174">
        <f t="shared" si="12"/>
        <v>161.3</v>
      </c>
      <c r="K141" s="174">
        <f t="shared" si="9"/>
        <v>0</v>
      </c>
      <c r="L141" s="174">
        <f t="shared" si="13"/>
        <v>142.129</v>
      </c>
      <c r="M141" s="174">
        <f t="shared" si="14"/>
        <v>109.33</v>
      </c>
      <c r="N141" s="174">
        <f t="shared" si="15"/>
        <v>142.129</v>
      </c>
    </row>
    <row r="142" spans="1:14" ht="12.75">
      <c r="A142" s="171" t="s">
        <v>205</v>
      </c>
      <c r="B142" s="37" t="s">
        <v>537</v>
      </c>
      <c r="C142" s="10" t="s">
        <v>206</v>
      </c>
      <c r="D142" s="58" t="s">
        <v>180</v>
      </c>
      <c r="E142" s="7">
        <v>7</v>
      </c>
      <c r="F142" s="175"/>
      <c r="G142" s="174">
        <f t="shared" si="8"/>
        <v>7</v>
      </c>
      <c r="H142" s="8">
        <v>25.8</v>
      </c>
      <c r="I142" s="174">
        <v>32.37</v>
      </c>
      <c r="J142" s="174">
        <f t="shared" si="12"/>
        <v>180.6</v>
      </c>
      <c r="K142" s="174">
        <f t="shared" si="9"/>
        <v>0</v>
      </c>
      <c r="L142" s="174">
        <f t="shared" si="13"/>
        <v>42.080999999999996</v>
      </c>
      <c r="M142" s="174">
        <f t="shared" si="14"/>
        <v>226.58999999999997</v>
      </c>
      <c r="N142" s="174">
        <f t="shared" si="15"/>
        <v>294.56699999999995</v>
      </c>
    </row>
    <row r="143" spans="1:14" ht="12.75">
      <c r="A143" s="171" t="s">
        <v>207</v>
      </c>
      <c r="B143" s="37" t="s">
        <v>517</v>
      </c>
      <c r="C143" s="10" t="s">
        <v>208</v>
      </c>
      <c r="D143" s="58" t="s">
        <v>180</v>
      </c>
      <c r="E143" s="7">
        <v>7</v>
      </c>
      <c r="F143" s="175"/>
      <c r="G143" s="174">
        <f t="shared" si="8"/>
        <v>7</v>
      </c>
      <c r="H143" s="8">
        <v>11.3</v>
      </c>
      <c r="I143" s="174">
        <v>54.22</v>
      </c>
      <c r="J143" s="174">
        <f t="shared" si="12"/>
        <v>79.10000000000001</v>
      </c>
      <c r="K143" s="174">
        <f t="shared" si="9"/>
        <v>0</v>
      </c>
      <c r="L143" s="174">
        <f t="shared" si="13"/>
        <v>70.486</v>
      </c>
      <c r="M143" s="174">
        <f t="shared" si="14"/>
        <v>379.53999999999996</v>
      </c>
      <c r="N143" s="174">
        <f t="shared" si="15"/>
        <v>493.40200000000004</v>
      </c>
    </row>
    <row r="144" spans="1:15" ht="12.75">
      <c r="A144" s="171" t="s">
        <v>209</v>
      </c>
      <c r="B144" s="37" t="s">
        <v>553</v>
      </c>
      <c r="C144" s="59" t="s">
        <v>210</v>
      </c>
      <c r="D144" s="39" t="s">
        <v>28</v>
      </c>
      <c r="E144" s="8">
        <v>16</v>
      </c>
      <c r="F144" s="175"/>
      <c r="G144" s="174">
        <f t="shared" si="8"/>
        <v>16</v>
      </c>
      <c r="H144" s="8">
        <v>3.45</v>
      </c>
      <c r="I144" s="8">
        <v>6.28</v>
      </c>
      <c r="J144" s="174">
        <f t="shared" si="12"/>
        <v>55.2</v>
      </c>
      <c r="K144" s="174">
        <f t="shared" si="9"/>
        <v>0</v>
      </c>
      <c r="L144" s="174">
        <f t="shared" si="13"/>
        <v>8.164000000000001</v>
      </c>
      <c r="M144" s="174">
        <f t="shared" si="14"/>
        <v>100.48</v>
      </c>
      <c r="N144" s="174">
        <f t="shared" si="15"/>
        <v>130.62400000000002</v>
      </c>
      <c r="O144" s="177"/>
    </row>
    <row r="145" spans="1:14" ht="12.75">
      <c r="A145" s="171"/>
      <c r="B145" s="23"/>
      <c r="C145" s="59"/>
      <c r="D145" s="39"/>
      <c r="E145" s="8"/>
      <c r="F145" s="175"/>
      <c r="G145" s="174"/>
      <c r="H145" s="174"/>
      <c r="I145" s="174"/>
      <c r="J145" s="174"/>
      <c r="K145" s="174"/>
      <c r="L145" s="174"/>
      <c r="M145" s="174"/>
      <c r="N145" s="174"/>
    </row>
    <row r="146" spans="1:14" ht="12.75">
      <c r="A146" s="171"/>
      <c r="B146" s="23" t="s">
        <v>211</v>
      </c>
      <c r="C146" s="60" t="s">
        <v>212</v>
      </c>
      <c r="D146" s="28"/>
      <c r="E146" s="36"/>
      <c r="F146" s="175"/>
      <c r="G146" s="174"/>
      <c r="H146" s="174"/>
      <c r="I146" s="174"/>
      <c r="J146" s="174"/>
      <c r="K146" s="174"/>
      <c r="L146" s="174"/>
      <c r="M146" s="174"/>
      <c r="N146" s="174"/>
    </row>
    <row r="147" spans="1:14" s="187" customFormat="1" ht="38.25">
      <c r="A147" s="186"/>
      <c r="B147" s="61" t="s">
        <v>213</v>
      </c>
      <c r="C147" s="101" t="s">
        <v>214</v>
      </c>
      <c r="D147" s="62"/>
      <c r="E147" s="63"/>
      <c r="F147" s="175"/>
      <c r="G147" s="174"/>
      <c r="H147" s="174"/>
      <c r="I147" s="174"/>
      <c r="J147" s="174"/>
      <c r="K147" s="174"/>
      <c r="L147" s="174"/>
      <c r="M147" s="174"/>
      <c r="N147" s="174"/>
    </row>
    <row r="148" spans="1:14" s="187" customFormat="1" ht="12.75">
      <c r="A148" s="186" t="s">
        <v>215</v>
      </c>
      <c r="B148" s="61"/>
      <c r="C148" s="68" t="s">
        <v>216</v>
      </c>
      <c r="D148" s="62" t="s">
        <v>77</v>
      </c>
      <c r="E148" s="63">
        <v>1</v>
      </c>
      <c r="F148" s="175"/>
      <c r="G148" s="174">
        <f aca="true" t="shared" si="16" ref="G148:G177">E148-F148</f>
        <v>1</v>
      </c>
      <c r="H148" s="67">
        <v>76</v>
      </c>
      <c r="I148" s="174">
        <v>131.56</v>
      </c>
      <c r="J148" s="174">
        <f t="shared" si="12"/>
        <v>76</v>
      </c>
      <c r="K148" s="174">
        <f t="shared" si="9"/>
        <v>0</v>
      </c>
      <c r="L148" s="174">
        <f aca="true" t="shared" si="17" ref="L148:L154">I148*(1+$M$11)</f>
        <v>171.02800000000002</v>
      </c>
      <c r="M148" s="174">
        <f aca="true" t="shared" si="18" ref="M148:M154">G148*I148</f>
        <v>131.56</v>
      </c>
      <c r="N148" s="174">
        <f aca="true" t="shared" si="19" ref="N148:N154">G148*L148</f>
        <v>171.02800000000002</v>
      </c>
    </row>
    <row r="149" spans="1:14" s="187" customFormat="1" ht="12.75">
      <c r="A149" s="186" t="s">
        <v>217</v>
      </c>
      <c r="B149" s="61"/>
      <c r="C149" s="68" t="s">
        <v>218</v>
      </c>
      <c r="D149" s="62" t="s">
        <v>77</v>
      </c>
      <c r="E149" s="63">
        <v>2</v>
      </c>
      <c r="F149" s="175"/>
      <c r="G149" s="174">
        <f t="shared" si="16"/>
        <v>2</v>
      </c>
      <c r="H149" s="67">
        <v>92</v>
      </c>
      <c r="I149" s="67">
        <v>153.83</v>
      </c>
      <c r="J149" s="174">
        <f t="shared" si="12"/>
        <v>184</v>
      </c>
      <c r="K149" s="174">
        <f aca="true" t="shared" si="20" ref="K149:K208">F149*H149</f>
        <v>0</v>
      </c>
      <c r="L149" s="174">
        <f t="shared" si="17"/>
        <v>199.979</v>
      </c>
      <c r="M149" s="174">
        <f t="shared" si="18"/>
        <v>307.66</v>
      </c>
      <c r="N149" s="174">
        <f t="shared" si="19"/>
        <v>399.958</v>
      </c>
    </row>
    <row r="150" spans="1:14" s="187" customFormat="1" ht="12.75">
      <c r="A150" s="186" t="s">
        <v>219</v>
      </c>
      <c r="B150" s="61"/>
      <c r="C150" s="68" t="s">
        <v>220</v>
      </c>
      <c r="D150" s="62" t="s">
        <v>77</v>
      </c>
      <c r="E150" s="63">
        <v>2</v>
      </c>
      <c r="F150" s="175"/>
      <c r="G150" s="174">
        <f t="shared" si="16"/>
        <v>2</v>
      </c>
      <c r="H150" s="67">
        <v>123.4</v>
      </c>
      <c r="I150" s="67">
        <v>194.96</v>
      </c>
      <c r="J150" s="174">
        <f t="shared" si="12"/>
        <v>246.8</v>
      </c>
      <c r="K150" s="174">
        <f t="shared" si="20"/>
        <v>0</v>
      </c>
      <c r="L150" s="174">
        <f t="shared" si="17"/>
        <v>253.448</v>
      </c>
      <c r="M150" s="174">
        <f t="shared" si="18"/>
        <v>389.92</v>
      </c>
      <c r="N150" s="174">
        <f t="shared" si="19"/>
        <v>506.896</v>
      </c>
    </row>
    <row r="151" spans="1:14" s="187" customFormat="1" ht="12.75">
      <c r="A151" s="186" t="s">
        <v>221</v>
      </c>
      <c r="B151" s="61" t="s">
        <v>538</v>
      </c>
      <c r="C151" s="64" t="s">
        <v>222</v>
      </c>
      <c r="D151" s="62" t="s">
        <v>77</v>
      </c>
      <c r="E151" s="63">
        <v>28</v>
      </c>
      <c r="F151" s="175"/>
      <c r="G151" s="174">
        <f t="shared" si="16"/>
        <v>28</v>
      </c>
      <c r="H151" s="67">
        <v>5</v>
      </c>
      <c r="I151" s="67">
        <v>7.76</v>
      </c>
      <c r="J151" s="174">
        <f t="shared" si="12"/>
        <v>140</v>
      </c>
      <c r="K151" s="174">
        <f t="shared" si="20"/>
        <v>0</v>
      </c>
      <c r="L151" s="174">
        <f t="shared" si="17"/>
        <v>10.088</v>
      </c>
      <c r="M151" s="174">
        <f t="shared" si="18"/>
        <v>217.28</v>
      </c>
      <c r="N151" s="174">
        <f t="shared" si="19"/>
        <v>282.464</v>
      </c>
    </row>
    <row r="152" spans="1:14" s="187" customFormat="1" ht="12.75">
      <c r="A152" s="186" t="s">
        <v>223</v>
      </c>
      <c r="B152" s="61" t="s">
        <v>516</v>
      </c>
      <c r="C152" s="64" t="s">
        <v>224</v>
      </c>
      <c r="D152" s="62" t="s">
        <v>77</v>
      </c>
      <c r="E152" s="63">
        <v>10</v>
      </c>
      <c r="F152" s="175"/>
      <c r="G152" s="174">
        <f t="shared" si="16"/>
        <v>10</v>
      </c>
      <c r="H152" s="67">
        <v>23.8</v>
      </c>
      <c r="I152" s="67">
        <v>39.2</v>
      </c>
      <c r="J152" s="174">
        <f t="shared" si="12"/>
        <v>238</v>
      </c>
      <c r="K152" s="174">
        <f t="shared" si="20"/>
        <v>0</v>
      </c>
      <c r="L152" s="174">
        <f t="shared" si="17"/>
        <v>50.96000000000001</v>
      </c>
      <c r="M152" s="174">
        <f t="shared" si="18"/>
        <v>392</v>
      </c>
      <c r="N152" s="174">
        <f t="shared" si="19"/>
        <v>509.6000000000001</v>
      </c>
    </row>
    <row r="153" spans="1:15" s="187" customFormat="1" ht="12.75">
      <c r="A153" s="186" t="s">
        <v>225</v>
      </c>
      <c r="B153" s="61" t="s">
        <v>555</v>
      </c>
      <c r="C153" s="64" t="s">
        <v>226</v>
      </c>
      <c r="D153" s="62" t="s">
        <v>77</v>
      </c>
      <c r="E153" s="63">
        <v>2</v>
      </c>
      <c r="F153" s="175"/>
      <c r="G153" s="174">
        <f t="shared" si="16"/>
        <v>2</v>
      </c>
      <c r="H153" s="67">
        <v>31.2</v>
      </c>
      <c r="I153" s="67">
        <v>48.09</v>
      </c>
      <c r="J153" s="174">
        <f t="shared" si="12"/>
        <v>62.4</v>
      </c>
      <c r="K153" s="174">
        <f t="shared" si="20"/>
        <v>0</v>
      </c>
      <c r="L153" s="174">
        <f t="shared" si="17"/>
        <v>62.51700000000001</v>
      </c>
      <c r="M153" s="174">
        <f t="shared" si="18"/>
        <v>96.18</v>
      </c>
      <c r="N153" s="174">
        <f t="shared" si="19"/>
        <v>125.03400000000002</v>
      </c>
      <c r="O153" s="188"/>
    </row>
    <row r="154" spans="1:14" s="187" customFormat="1" ht="12.75">
      <c r="A154" s="186" t="s">
        <v>459</v>
      </c>
      <c r="B154" s="61" t="s">
        <v>518</v>
      </c>
      <c r="C154" s="64" t="s">
        <v>227</v>
      </c>
      <c r="D154" s="62" t="s">
        <v>77</v>
      </c>
      <c r="E154" s="63">
        <v>5</v>
      </c>
      <c r="F154" s="175"/>
      <c r="G154" s="174">
        <f t="shared" si="16"/>
        <v>5</v>
      </c>
      <c r="H154" s="67">
        <v>112.4</v>
      </c>
      <c r="I154" s="174">
        <v>75</v>
      </c>
      <c r="J154" s="174">
        <f t="shared" si="12"/>
        <v>562</v>
      </c>
      <c r="K154" s="174">
        <f t="shared" si="20"/>
        <v>0</v>
      </c>
      <c r="L154" s="174">
        <f t="shared" si="17"/>
        <v>97.5</v>
      </c>
      <c r="M154" s="174">
        <f t="shared" si="18"/>
        <v>375</v>
      </c>
      <c r="N154" s="174">
        <f t="shared" si="19"/>
        <v>487.5</v>
      </c>
    </row>
    <row r="155" spans="1:14" s="187" customFormat="1" ht="12.75">
      <c r="A155" s="186"/>
      <c r="B155" s="61" t="s">
        <v>228</v>
      </c>
      <c r="C155" s="64" t="s">
        <v>229</v>
      </c>
      <c r="D155" s="62"/>
      <c r="E155" s="63"/>
      <c r="F155" s="175"/>
      <c r="G155" s="174"/>
      <c r="H155" s="67"/>
      <c r="I155" s="174"/>
      <c r="J155" s="174"/>
      <c r="K155" s="174">
        <f t="shared" si="20"/>
        <v>0</v>
      </c>
      <c r="L155" s="174"/>
      <c r="M155" s="174"/>
      <c r="N155" s="174"/>
    </row>
    <row r="156" spans="1:14" s="187" customFormat="1" ht="12.75">
      <c r="A156" s="186" t="s">
        <v>230</v>
      </c>
      <c r="B156" s="61"/>
      <c r="C156" s="68" t="s">
        <v>231</v>
      </c>
      <c r="D156" s="62" t="s">
        <v>193</v>
      </c>
      <c r="E156" s="63">
        <v>5</v>
      </c>
      <c r="F156" s="175"/>
      <c r="G156" s="174">
        <f t="shared" si="16"/>
        <v>5</v>
      </c>
      <c r="H156" s="67">
        <v>32</v>
      </c>
      <c r="I156" s="67">
        <v>42.65</v>
      </c>
      <c r="J156" s="174">
        <f t="shared" si="12"/>
        <v>160</v>
      </c>
      <c r="K156" s="174">
        <f t="shared" si="20"/>
        <v>0</v>
      </c>
      <c r="L156" s="174">
        <f>I156*(1+$M$11)</f>
        <v>55.445</v>
      </c>
      <c r="M156" s="174">
        <f>G156*I156</f>
        <v>213.25</v>
      </c>
      <c r="N156" s="174">
        <f>G156*L156</f>
        <v>277.225</v>
      </c>
    </row>
    <row r="157" spans="1:14" s="187" customFormat="1" ht="12.75">
      <c r="A157" s="186" t="s">
        <v>232</v>
      </c>
      <c r="B157" s="61"/>
      <c r="C157" s="68" t="s">
        <v>233</v>
      </c>
      <c r="D157" s="62" t="s">
        <v>193</v>
      </c>
      <c r="E157" s="63">
        <v>14</v>
      </c>
      <c r="F157" s="175"/>
      <c r="G157" s="174">
        <f t="shared" si="16"/>
        <v>14</v>
      </c>
      <c r="H157" s="67">
        <v>54</v>
      </c>
      <c r="I157" s="67">
        <v>63.92</v>
      </c>
      <c r="J157" s="174">
        <f t="shared" si="12"/>
        <v>756</v>
      </c>
      <c r="K157" s="174">
        <f t="shared" si="20"/>
        <v>0</v>
      </c>
      <c r="L157" s="174">
        <f>I157*(1+$M$11)</f>
        <v>83.096</v>
      </c>
      <c r="M157" s="174">
        <f>G157*I157</f>
        <v>894.88</v>
      </c>
      <c r="N157" s="174">
        <f>G157*L157</f>
        <v>1163.344</v>
      </c>
    </row>
    <row r="158" spans="1:15" s="187" customFormat="1" ht="12.75">
      <c r="A158" s="186" t="s">
        <v>234</v>
      </c>
      <c r="B158" s="61"/>
      <c r="C158" s="68" t="s">
        <v>235</v>
      </c>
      <c r="D158" s="62" t="s">
        <v>193</v>
      </c>
      <c r="E158" s="63">
        <v>51</v>
      </c>
      <c r="F158" s="175"/>
      <c r="G158" s="174">
        <f t="shared" si="16"/>
        <v>51</v>
      </c>
      <c r="H158" s="67">
        <v>58</v>
      </c>
      <c r="I158" s="67">
        <v>69.08</v>
      </c>
      <c r="J158" s="174">
        <f t="shared" si="12"/>
        <v>2958</v>
      </c>
      <c r="K158" s="174">
        <f t="shared" si="20"/>
        <v>0</v>
      </c>
      <c r="L158" s="174">
        <f>I158*(1+$M$11)</f>
        <v>89.804</v>
      </c>
      <c r="M158" s="174">
        <f>G158*I158</f>
        <v>3523.08</v>
      </c>
      <c r="N158" s="174">
        <f>G158*L158</f>
        <v>4580.004</v>
      </c>
      <c r="O158" s="188"/>
    </row>
    <row r="159" spans="1:14" s="187" customFormat="1" ht="25.5">
      <c r="A159" s="186" t="s">
        <v>236</v>
      </c>
      <c r="B159" s="61" t="s">
        <v>554</v>
      </c>
      <c r="C159" s="101" t="s">
        <v>237</v>
      </c>
      <c r="D159" s="62" t="s">
        <v>193</v>
      </c>
      <c r="E159" s="63">
        <v>3</v>
      </c>
      <c r="F159" s="175"/>
      <c r="G159" s="174">
        <f t="shared" si="16"/>
        <v>3</v>
      </c>
      <c r="H159" s="67">
        <v>24.8</v>
      </c>
      <c r="I159" s="67">
        <v>33.37</v>
      </c>
      <c r="J159" s="174">
        <f t="shared" si="12"/>
        <v>74.4</v>
      </c>
      <c r="K159" s="174">
        <f t="shared" si="20"/>
        <v>0</v>
      </c>
      <c r="L159" s="174">
        <f>I159*(1+$M$11)</f>
        <v>43.381</v>
      </c>
      <c r="M159" s="174">
        <f>G159*I159</f>
        <v>100.10999999999999</v>
      </c>
      <c r="N159" s="174">
        <f>G159*L159</f>
        <v>130.143</v>
      </c>
    </row>
    <row r="160" spans="1:14" s="187" customFormat="1" ht="12.75">
      <c r="A160" s="186"/>
      <c r="B160" s="61" t="s">
        <v>238</v>
      </c>
      <c r="C160" s="64" t="s">
        <v>239</v>
      </c>
      <c r="D160" s="62"/>
      <c r="E160" s="63"/>
      <c r="F160" s="175"/>
      <c r="G160" s="174"/>
      <c r="H160" s="67"/>
      <c r="I160" s="174"/>
      <c r="J160" s="174"/>
      <c r="K160" s="174">
        <f t="shared" si="20"/>
        <v>0</v>
      </c>
      <c r="L160" s="174"/>
      <c r="M160" s="174"/>
      <c r="N160" s="174"/>
    </row>
    <row r="161" spans="1:14" s="187" customFormat="1" ht="12.75">
      <c r="A161" s="186" t="s">
        <v>240</v>
      </c>
      <c r="B161" s="61"/>
      <c r="C161" s="68" t="s">
        <v>241</v>
      </c>
      <c r="D161" s="62" t="s">
        <v>28</v>
      </c>
      <c r="E161" s="63">
        <v>2859</v>
      </c>
      <c r="F161" s="175"/>
      <c r="G161" s="174">
        <f t="shared" si="16"/>
        <v>2859</v>
      </c>
      <c r="H161" s="67">
        <v>1.3</v>
      </c>
      <c r="I161" s="67">
        <v>1.72</v>
      </c>
      <c r="J161" s="174">
        <f t="shared" si="12"/>
        <v>3716.7000000000003</v>
      </c>
      <c r="K161" s="174">
        <f t="shared" si="20"/>
        <v>0</v>
      </c>
      <c r="L161" s="174">
        <f aca="true" t="shared" si="21" ref="L161:L168">I161*(1+$M$11)</f>
        <v>2.236</v>
      </c>
      <c r="M161" s="174">
        <f aca="true" t="shared" si="22" ref="M161:M168">G161*I161</f>
        <v>4917.48</v>
      </c>
      <c r="N161" s="174">
        <f aca="true" t="shared" si="23" ref="N161:N168">G161*L161</f>
        <v>6392.724</v>
      </c>
    </row>
    <row r="162" spans="1:14" s="187" customFormat="1" ht="12.75">
      <c r="A162" s="186" t="s">
        <v>242</v>
      </c>
      <c r="B162" s="61"/>
      <c r="C162" s="68" t="s">
        <v>243</v>
      </c>
      <c r="D162" s="62" t="s">
        <v>28</v>
      </c>
      <c r="E162" s="63">
        <v>497</v>
      </c>
      <c r="F162" s="175"/>
      <c r="G162" s="174">
        <f t="shared" si="16"/>
        <v>497</v>
      </c>
      <c r="H162" s="67">
        <v>2.1</v>
      </c>
      <c r="I162" s="67">
        <v>2.51</v>
      </c>
      <c r="J162" s="174">
        <f t="shared" si="12"/>
        <v>1043.7</v>
      </c>
      <c r="K162" s="174">
        <f t="shared" si="20"/>
        <v>0</v>
      </c>
      <c r="L162" s="174">
        <f t="shared" si="21"/>
        <v>3.263</v>
      </c>
      <c r="M162" s="174">
        <f t="shared" si="22"/>
        <v>1247.4699999999998</v>
      </c>
      <c r="N162" s="174">
        <f t="shared" si="23"/>
        <v>1621.711</v>
      </c>
    </row>
    <row r="163" spans="1:14" s="187" customFormat="1" ht="12.75">
      <c r="A163" s="186" t="s">
        <v>244</v>
      </c>
      <c r="B163" s="61"/>
      <c r="C163" s="68" t="s">
        <v>245</v>
      </c>
      <c r="D163" s="62" t="s">
        <v>28</v>
      </c>
      <c r="E163" s="63">
        <v>230</v>
      </c>
      <c r="F163" s="175"/>
      <c r="G163" s="174">
        <f t="shared" si="16"/>
        <v>230</v>
      </c>
      <c r="H163" s="67">
        <v>2.3</v>
      </c>
      <c r="I163" s="67">
        <v>3.38</v>
      </c>
      <c r="J163" s="174">
        <f t="shared" si="12"/>
        <v>529</v>
      </c>
      <c r="K163" s="174">
        <f t="shared" si="20"/>
        <v>0</v>
      </c>
      <c r="L163" s="174">
        <f t="shared" si="21"/>
        <v>4.394</v>
      </c>
      <c r="M163" s="174">
        <f t="shared" si="22"/>
        <v>777.4</v>
      </c>
      <c r="N163" s="174">
        <f t="shared" si="23"/>
        <v>1010.62</v>
      </c>
    </row>
    <row r="164" spans="1:14" s="187" customFormat="1" ht="12.75">
      <c r="A164" s="186" t="s">
        <v>246</v>
      </c>
      <c r="B164" s="61"/>
      <c r="C164" s="68" t="s">
        <v>247</v>
      </c>
      <c r="D164" s="62" t="s">
        <v>28</v>
      </c>
      <c r="E164" s="63">
        <v>128</v>
      </c>
      <c r="F164" s="175"/>
      <c r="G164" s="174">
        <f t="shared" si="16"/>
        <v>128</v>
      </c>
      <c r="H164" s="67">
        <v>3.7</v>
      </c>
      <c r="I164" s="67">
        <v>5.19</v>
      </c>
      <c r="J164" s="174">
        <f t="shared" si="12"/>
        <v>473.6</v>
      </c>
      <c r="K164" s="174">
        <f t="shared" si="20"/>
        <v>0</v>
      </c>
      <c r="L164" s="174">
        <f t="shared" si="21"/>
        <v>6.747000000000001</v>
      </c>
      <c r="M164" s="174">
        <f t="shared" si="22"/>
        <v>664.32</v>
      </c>
      <c r="N164" s="174">
        <f t="shared" si="23"/>
        <v>863.6160000000001</v>
      </c>
    </row>
    <row r="165" spans="1:14" s="187" customFormat="1" ht="12.75">
      <c r="A165" s="186" t="s">
        <v>248</v>
      </c>
      <c r="B165" s="61"/>
      <c r="C165" s="68" t="s">
        <v>249</v>
      </c>
      <c r="D165" s="62" t="s">
        <v>28</v>
      </c>
      <c r="E165" s="63">
        <v>66</v>
      </c>
      <c r="F165" s="175"/>
      <c r="G165" s="174">
        <f t="shared" si="16"/>
        <v>66</v>
      </c>
      <c r="H165" s="67">
        <v>4.8</v>
      </c>
      <c r="I165" s="67">
        <v>5.96</v>
      </c>
      <c r="J165" s="174">
        <f t="shared" si="12"/>
        <v>316.8</v>
      </c>
      <c r="K165" s="174">
        <f t="shared" si="20"/>
        <v>0</v>
      </c>
      <c r="L165" s="174">
        <f t="shared" si="21"/>
        <v>7.748</v>
      </c>
      <c r="M165" s="174">
        <f t="shared" si="22"/>
        <v>393.36</v>
      </c>
      <c r="N165" s="174">
        <f t="shared" si="23"/>
        <v>511.368</v>
      </c>
    </row>
    <row r="166" spans="1:14" s="187" customFormat="1" ht="12.75">
      <c r="A166" s="186" t="s">
        <v>250</v>
      </c>
      <c r="B166" s="61"/>
      <c r="C166" s="68" t="s">
        <v>251</v>
      </c>
      <c r="D166" s="62" t="s">
        <v>28</v>
      </c>
      <c r="E166" s="63">
        <v>80</v>
      </c>
      <c r="F166" s="175"/>
      <c r="G166" s="174">
        <f t="shared" si="16"/>
        <v>80</v>
      </c>
      <c r="H166" s="67">
        <v>5.9</v>
      </c>
      <c r="I166" s="67">
        <v>8.61</v>
      </c>
      <c r="J166" s="174">
        <f t="shared" si="12"/>
        <v>472</v>
      </c>
      <c r="K166" s="174">
        <f t="shared" si="20"/>
        <v>0</v>
      </c>
      <c r="L166" s="174">
        <f t="shared" si="21"/>
        <v>11.193</v>
      </c>
      <c r="M166" s="174">
        <f t="shared" si="22"/>
        <v>688.8</v>
      </c>
      <c r="N166" s="174">
        <f t="shared" si="23"/>
        <v>895.4399999999999</v>
      </c>
    </row>
    <row r="167" spans="1:14" s="187" customFormat="1" ht="12.75">
      <c r="A167" s="186" t="s">
        <v>252</v>
      </c>
      <c r="B167" s="61" t="s">
        <v>490</v>
      </c>
      <c r="C167" s="64" t="s">
        <v>253</v>
      </c>
      <c r="D167" s="62" t="s">
        <v>28</v>
      </c>
      <c r="E167" s="63">
        <v>780</v>
      </c>
      <c r="F167" s="175"/>
      <c r="G167" s="174">
        <f t="shared" si="16"/>
        <v>780</v>
      </c>
      <c r="H167" s="67">
        <v>2.1</v>
      </c>
      <c r="I167" s="67">
        <v>3.22</v>
      </c>
      <c r="J167" s="174">
        <f t="shared" si="12"/>
        <v>1638</v>
      </c>
      <c r="K167" s="174">
        <f t="shared" si="20"/>
        <v>0</v>
      </c>
      <c r="L167" s="174">
        <f t="shared" si="21"/>
        <v>4.186000000000001</v>
      </c>
      <c r="M167" s="174">
        <f t="shared" si="22"/>
        <v>2511.6000000000004</v>
      </c>
      <c r="N167" s="174">
        <f t="shared" si="23"/>
        <v>3265.080000000001</v>
      </c>
    </row>
    <row r="168" spans="1:15" s="187" customFormat="1" ht="12.75">
      <c r="A168" s="186" t="s">
        <v>254</v>
      </c>
      <c r="B168" s="61" t="s">
        <v>528</v>
      </c>
      <c r="C168" s="64" t="s">
        <v>255</v>
      </c>
      <c r="D168" s="62" t="s">
        <v>28</v>
      </c>
      <c r="E168" s="63">
        <v>285</v>
      </c>
      <c r="F168" s="175"/>
      <c r="G168" s="174">
        <f t="shared" si="16"/>
        <v>285</v>
      </c>
      <c r="H168" s="67">
        <v>1.45</v>
      </c>
      <c r="I168" s="67">
        <v>1.01</v>
      </c>
      <c r="J168" s="174">
        <f t="shared" si="12"/>
        <v>413.25</v>
      </c>
      <c r="K168" s="174">
        <f t="shared" si="20"/>
        <v>0</v>
      </c>
      <c r="L168" s="174">
        <f t="shared" si="21"/>
        <v>1.3130000000000002</v>
      </c>
      <c r="M168" s="174">
        <f t="shared" si="22"/>
        <v>287.85</v>
      </c>
      <c r="N168" s="174">
        <f t="shared" si="23"/>
        <v>374.20500000000004</v>
      </c>
      <c r="O168" s="188"/>
    </row>
    <row r="169" spans="1:14" s="187" customFormat="1" ht="25.5">
      <c r="A169" s="186"/>
      <c r="B169" s="61" t="s">
        <v>256</v>
      </c>
      <c r="C169" s="65" t="s">
        <v>257</v>
      </c>
      <c r="D169" s="62"/>
      <c r="E169" s="63"/>
      <c r="F169" s="175"/>
      <c r="G169" s="174"/>
      <c r="H169" s="67"/>
      <c r="I169" s="174"/>
      <c r="J169" s="174"/>
      <c r="K169" s="174"/>
      <c r="L169" s="174"/>
      <c r="M169" s="174"/>
      <c r="N169" s="174"/>
    </row>
    <row r="170" spans="1:15" s="187" customFormat="1" ht="12.75">
      <c r="A170" s="186" t="s">
        <v>258</v>
      </c>
      <c r="B170" s="61"/>
      <c r="C170" s="68" t="s">
        <v>259</v>
      </c>
      <c r="D170" s="62" t="s">
        <v>28</v>
      </c>
      <c r="E170" s="63">
        <v>40</v>
      </c>
      <c r="F170" s="175">
        <v>20</v>
      </c>
      <c r="G170" s="174">
        <f t="shared" si="16"/>
        <v>20</v>
      </c>
      <c r="H170" s="67">
        <v>12.7</v>
      </c>
      <c r="I170" s="67">
        <v>12.88</v>
      </c>
      <c r="J170" s="174">
        <f t="shared" si="12"/>
        <v>508</v>
      </c>
      <c r="K170" s="174">
        <f t="shared" si="20"/>
        <v>254</v>
      </c>
      <c r="L170" s="174">
        <f>I170*(1+$M$11)</f>
        <v>16.744000000000003</v>
      </c>
      <c r="M170" s="174">
        <f>G170*I170</f>
        <v>257.6</v>
      </c>
      <c r="N170" s="174">
        <f>G170*L170</f>
        <v>334.88000000000005</v>
      </c>
      <c r="O170" s="188"/>
    </row>
    <row r="171" spans="1:14" s="187" customFormat="1" ht="12.75">
      <c r="A171" s="186" t="s">
        <v>260</v>
      </c>
      <c r="B171" s="61"/>
      <c r="C171" s="68" t="s">
        <v>261</v>
      </c>
      <c r="D171" s="62" t="s">
        <v>28</v>
      </c>
      <c r="E171" s="63">
        <v>11</v>
      </c>
      <c r="F171" s="175">
        <v>5.5</v>
      </c>
      <c r="G171" s="174">
        <f t="shared" si="16"/>
        <v>5.5</v>
      </c>
      <c r="H171" s="67">
        <v>11.3</v>
      </c>
      <c r="I171" s="67">
        <v>19.22</v>
      </c>
      <c r="J171" s="174">
        <f t="shared" si="12"/>
        <v>124.30000000000001</v>
      </c>
      <c r="K171" s="174">
        <f t="shared" si="20"/>
        <v>62.150000000000006</v>
      </c>
      <c r="L171" s="174">
        <f>I171*(1+$M$11)</f>
        <v>24.986</v>
      </c>
      <c r="M171" s="174">
        <f>G171*I171</f>
        <v>105.71</v>
      </c>
      <c r="N171" s="174">
        <f>G171*L171</f>
        <v>137.423</v>
      </c>
    </row>
    <row r="172" spans="1:14" s="187" customFormat="1" ht="12.75">
      <c r="A172" s="186" t="s">
        <v>262</v>
      </c>
      <c r="B172" s="61"/>
      <c r="C172" s="68" t="s">
        <v>263</v>
      </c>
      <c r="D172" s="62" t="s">
        <v>28</v>
      </c>
      <c r="E172" s="63">
        <v>23</v>
      </c>
      <c r="F172" s="175">
        <v>11.5</v>
      </c>
      <c r="G172" s="174">
        <f t="shared" si="16"/>
        <v>11.5</v>
      </c>
      <c r="H172" s="67">
        <v>10.56</v>
      </c>
      <c r="I172" s="67">
        <v>15.91</v>
      </c>
      <c r="J172" s="174">
        <f t="shared" si="12"/>
        <v>242.88000000000002</v>
      </c>
      <c r="K172" s="174">
        <f t="shared" si="20"/>
        <v>121.44000000000001</v>
      </c>
      <c r="L172" s="174">
        <f>I172*(1+$M$11)</f>
        <v>20.683</v>
      </c>
      <c r="M172" s="174">
        <f>G172*I172</f>
        <v>182.965</v>
      </c>
      <c r="N172" s="174">
        <f>G172*L172</f>
        <v>237.8545</v>
      </c>
    </row>
    <row r="173" spans="1:14" s="187" customFormat="1" ht="12.75">
      <c r="A173" s="186" t="s">
        <v>406</v>
      </c>
      <c r="B173" s="61"/>
      <c r="C173" s="68" t="s">
        <v>264</v>
      </c>
      <c r="D173" s="62" t="s">
        <v>28</v>
      </c>
      <c r="E173" s="63">
        <v>22</v>
      </c>
      <c r="F173" s="175">
        <v>11</v>
      </c>
      <c r="G173" s="174">
        <f t="shared" si="16"/>
        <v>11</v>
      </c>
      <c r="H173" s="67">
        <v>4.9</v>
      </c>
      <c r="I173" s="67">
        <v>11.58</v>
      </c>
      <c r="J173" s="174">
        <f t="shared" si="12"/>
        <v>107.80000000000001</v>
      </c>
      <c r="K173" s="174">
        <f t="shared" si="20"/>
        <v>53.900000000000006</v>
      </c>
      <c r="L173" s="174">
        <f>I173*(1+$M$11)</f>
        <v>15.054</v>
      </c>
      <c r="M173" s="174">
        <f>G173*I173</f>
        <v>127.38</v>
      </c>
      <c r="N173" s="174">
        <f>G173*L173</f>
        <v>165.594</v>
      </c>
    </row>
    <row r="174" spans="1:14" s="187" customFormat="1" ht="25.5">
      <c r="A174" s="186"/>
      <c r="B174" s="61" t="s">
        <v>265</v>
      </c>
      <c r="C174" s="65" t="s">
        <v>266</v>
      </c>
      <c r="D174" s="66"/>
      <c r="E174" s="67"/>
      <c r="F174" s="175"/>
      <c r="G174" s="174"/>
      <c r="H174" s="67"/>
      <c r="I174" s="174"/>
      <c r="J174" s="174"/>
      <c r="K174" s="174"/>
      <c r="L174" s="174"/>
      <c r="M174" s="174"/>
      <c r="N174" s="174"/>
    </row>
    <row r="175" spans="1:14" s="187" customFormat="1" ht="12.75">
      <c r="A175" s="186" t="s">
        <v>267</v>
      </c>
      <c r="B175" s="61"/>
      <c r="C175" s="68" t="s">
        <v>259</v>
      </c>
      <c r="D175" s="62" t="s">
        <v>180</v>
      </c>
      <c r="E175" s="63">
        <v>1</v>
      </c>
      <c r="F175" s="175">
        <v>1</v>
      </c>
      <c r="G175" s="174"/>
      <c r="H175" s="67"/>
      <c r="I175" s="174"/>
      <c r="J175" s="174"/>
      <c r="K175" s="174"/>
      <c r="L175" s="174"/>
      <c r="M175" s="174"/>
      <c r="N175" s="174"/>
    </row>
    <row r="176" spans="1:14" s="187" customFormat="1" ht="12.75">
      <c r="A176" s="186" t="s">
        <v>268</v>
      </c>
      <c r="B176" s="61"/>
      <c r="C176" s="68" t="s">
        <v>263</v>
      </c>
      <c r="D176" s="62" t="s">
        <v>180</v>
      </c>
      <c r="E176" s="63">
        <v>2</v>
      </c>
      <c r="F176" s="175">
        <v>1</v>
      </c>
      <c r="G176" s="174">
        <f t="shared" si="16"/>
        <v>1</v>
      </c>
      <c r="H176" s="67">
        <v>4.5</v>
      </c>
      <c r="I176" s="67">
        <v>10.07</v>
      </c>
      <c r="J176" s="174">
        <f t="shared" si="12"/>
        <v>9</v>
      </c>
      <c r="K176" s="174">
        <f t="shared" si="20"/>
        <v>4.5</v>
      </c>
      <c r="L176" s="174">
        <f>I176*(1+$M$11)</f>
        <v>13.091000000000001</v>
      </c>
      <c r="M176" s="174">
        <f>G176*I176</f>
        <v>10.07</v>
      </c>
      <c r="N176" s="174">
        <f>G176*L176</f>
        <v>13.091000000000001</v>
      </c>
    </row>
    <row r="177" spans="1:14" s="187" customFormat="1" ht="12.75">
      <c r="A177" s="186" t="s">
        <v>269</v>
      </c>
      <c r="B177" s="61"/>
      <c r="C177" s="68" t="s">
        <v>264</v>
      </c>
      <c r="D177" s="62" t="s">
        <v>180</v>
      </c>
      <c r="E177" s="63">
        <v>4</v>
      </c>
      <c r="F177" s="175">
        <v>2</v>
      </c>
      <c r="G177" s="174">
        <f t="shared" si="16"/>
        <v>2</v>
      </c>
      <c r="H177" s="67">
        <v>3.67</v>
      </c>
      <c r="I177" s="67">
        <v>4.95</v>
      </c>
      <c r="J177" s="174">
        <f t="shared" si="12"/>
        <v>14.68</v>
      </c>
      <c r="K177" s="174">
        <f t="shared" si="20"/>
        <v>7.34</v>
      </c>
      <c r="L177" s="174">
        <f>I177*(1+$M$11)</f>
        <v>6.4350000000000005</v>
      </c>
      <c r="M177" s="174">
        <f>G177*I177</f>
        <v>9.9</v>
      </c>
      <c r="N177" s="174">
        <f>G177*L177</f>
        <v>12.870000000000001</v>
      </c>
    </row>
    <row r="178" spans="1:14" s="187" customFormat="1" ht="25.5">
      <c r="A178" s="186"/>
      <c r="B178" s="61" t="s">
        <v>270</v>
      </c>
      <c r="C178" s="65" t="s">
        <v>271</v>
      </c>
      <c r="D178" s="62"/>
      <c r="E178" s="63"/>
      <c r="F178" s="175"/>
      <c r="G178" s="174"/>
      <c r="H178" s="67"/>
      <c r="I178" s="174"/>
      <c r="J178" s="174"/>
      <c r="K178" s="174"/>
      <c r="L178" s="174"/>
      <c r="M178" s="174"/>
      <c r="N178" s="174"/>
    </row>
    <row r="179" spans="1:14" s="187" customFormat="1" ht="12.75">
      <c r="A179" s="186"/>
      <c r="B179" s="61"/>
      <c r="C179" s="68" t="s">
        <v>259</v>
      </c>
      <c r="D179" s="62" t="s">
        <v>180</v>
      </c>
      <c r="E179" s="63">
        <v>1</v>
      </c>
      <c r="F179" s="175">
        <v>1</v>
      </c>
      <c r="G179" s="174"/>
      <c r="H179" s="67"/>
      <c r="I179" s="174"/>
      <c r="J179" s="174"/>
      <c r="K179" s="174"/>
      <c r="L179" s="174"/>
      <c r="M179" s="174"/>
      <c r="N179" s="174"/>
    </row>
    <row r="180" spans="1:14" s="187" customFormat="1" ht="12.75">
      <c r="A180" s="186" t="s">
        <v>272</v>
      </c>
      <c r="B180" s="61"/>
      <c r="C180" s="68" t="s">
        <v>263</v>
      </c>
      <c r="D180" s="62" t="s">
        <v>180</v>
      </c>
      <c r="E180" s="63">
        <v>2</v>
      </c>
      <c r="F180" s="175">
        <v>1</v>
      </c>
      <c r="G180" s="174">
        <f aca="true" t="shared" si="24" ref="G180:G207">E180-F180</f>
        <v>1</v>
      </c>
      <c r="H180" s="67">
        <v>0.65</v>
      </c>
      <c r="I180" s="67">
        <v>5.22</v>
      </c>
      <c r="J180" s="174">
        <f t="shared" si="12"/>
        <v>1.3</v>
      </c>
      <c r="K180" s="174">
        <f t="shared" si="20"/>
        <v>0.65</v>
      </c>
      <c r="L180" s="174">
        <f>I180*(1+$M$11)</f>
        <v>6.786</v>
      </c>
      <c r="M180" s="174">
        <f>G180*I180</f>
        <v>5.22</v>
      </c>
      <c r="N180" s="174">
        <f>G180*L180</f>
        <v>6.786</v>
      </c>
    </row>
    <row r="181" spans="1:14" s="187" customFormat="1" ht="12.75">
      <c r="A181" s="189" t="s">
        <v>273</v>
      </c>
      <c r="B181" s="104"/>
      <c r="C181" s="105" t="s">
        <v>264</v>
      </c>
      <c r="D181" s="106" t="s">
        <v>180</v>
      </c>
      <c r="E181" s="63">
        <v>4</v>
      </c>
      <c r="F181" s="35">
        <v>2</v>
      </c>
      <c r="G181" s="190">
        <f t="shared" si="24"/>
        <v>2</v>
      </c>
      <c r="H181" s="63">
        <v>1.4</v>
      </c>
      <c r="I181" s="63">
        <v>4.14</v>
      </c>
      <c r="J181" s="190">
        <f t="shared" si="12"/>
        <v>5.6</v>
      </c>
      <c r="K181" s="190">
        <f t="shared" si="20"/>
        <v>2.8</v>
      </c>
      <c r="L181" s="174">
        <f>I181*(1+$M$11)</f>
        <v>5.382</v>
      </c>
      <c r="M181" s="174">
        <f>G181*I181</f>
        <v>8.28</v>
      </c>
      <c r="N181" s="174">
        <f>G181*L181</f>
        <v>10.764</v>
      </c>
    </row>
    <row r="182" spans="1:14" s="187" customFormat="1" ht="25.5">
      <c r="A182" s="186"/>
      <c r="B182" s="61" t="s">
        <v>274</v>
      </c>
      <c r="C182" s="65" t="s">
        <v>275</v>
      </c>
      <c r="D182" s="62"/>
      <c r="E182" s="63"/>
      <c r="F182" s="175"/>
      <c r="G182" s="174"/>
      <c r="H182" s="67"/>
      <c r="I182" s="174"/>
      <c r="J182" s="174"/>
      <c r="K182" s="174"/>
      <c r="L182" s="174"/>
      <c r="M182" s="174"/>
      <c r="N182" s="174"/>
    </row>
    <row r="183" spans="1:14" s="187" customFormat="1" ht="12.75">
      <c r="A183" s="186" t="s">
        <v>276</v>
      </c>
      <c r="B183" s="61"/>
      <c r="C183" s="68" t="s">
        <v>277</v>
      </c>
      <c r="D183" s="62" t="s">
        <v>28</v>
      </c>
      <c r="E183" s="63">
        <v>66</v>
      </c>
      <c r="F183" s="175">
        <v>33</v>
      </c>
      <c r="G183" s="174">
        <f t="shared" si="24"/>
        <v>33</v>
      </c>
      <c r="H183" s="67">
        <v>3.4</v>
      </c>
      <c r="I183" s="67">
        <v>5.72</v>
      </c>
      <c r="J183" s="174">
        <f t="shared" si="12"/>
        <v>224.4</v>
      </c>
      <c r="K183" s="174">
        <f t="shared" si="20"/>
        <v>112.2</v>
      </c>
      <c r="L183" s="174">
        <f>I183*(1+$M$11)</f>
        <v>7.436</v>
      </c>
      <c r="M183" s="174">
        <f>G183*I183</f>
        <v>188.76</v>
      </c>
      <c r="N183" s="174">
        <f>G183*L183</f>
        <v>245.388</v>
      </c>
    </row>
    <row r="184" spans="1:14" s="187" customFormat="1" ht="12.75">
      <c r="A184" s="186" t="s">
        <v>278</v>
      </c>
      <c r="B184" s="61"/>
      <c r="C184" s="68" t="s">
        <v>279</v>
      </c>
      <c r="D184" s="62" t="s">
        <v>28</v>
      </c>
      <c r="E184" s="63">
        <v>860</v>
      </c>
      <c r="F184" s="175">
        <v>430</v>
      </c>
      <c r="G184" s="174">
        <f t="shared" si="24"/>
        <v>430</v>
      </c>
      <c r="H184" s="67">
        <v>2.3</v>
      </c>
      <c r="I184" s="67">
        <v>4.13</v>
      </c>
      <c r="J184" s="174">
        <f t="shared" si="12"/>
        <v>1977.9999999999998</v>
      </c>
      <c r="K184" s="174">
        <f t="shared" si="20"/>
        <v>988.9999999999999</v>
      </c>
      <c r="L184" s="174">
        <f>I184*(1+$M$11)</f>
        <v>5.369</v>
      </c>
      <c r="M184" s="174">
        <f>G184*I184</f>
        <v>1775.8999999999999</v>
      </c>
      <c r="N184" s="174">
        <f>G184*L184</f>
        <v>2308.67</v>
      </c>
    </row>
    <row r="185" spans="1:14" s="187" customFormat="1" ht="12.75">
      <c r="A185" s="186" t="s">
        <v>280</v>
      </c>
      <c r="B185" s="61" t="s">
        <v>281</v>
      </c>
      <c r="C185" s="64" t="s">
        <v>282</v>
      </c>
      <c r="D185" s="62" t="s">
        <v>180</v>
      </c>
      <c r="E185" s="63">
        <v>73</v>
      </c>
      <c r="F185" s="175">
        <v>36</v>
      </c>
      <c r="G185" s="174">
        <f t="shared" si="24"/>
        <v>37</v>
      </c>
      <c r="H185" s="67">
        <v>2.3</v>
      </c>
      <c r="I185" s="67">
        <v>1.93</v>
      </c>
      <c r="J185" s="174">
        <f t="shared" si="12"/>
        <v>167.89999999999998</v>
      </c>
      <c r="K185" s="174">
        <f t="shared" si="20"/>
        <v>82.8</v>
      </c>
      <c r="L185" s="174">
        <f>I185*(1+$M$11)</f>
        <v>2.509</v>
      </c>
      <c r="M185" s="174">
        <f>G185*I185</f>
        <v>71.41</v>
      </c>
      <c r="N185" s="174">
        <f>G185*L185</f>
        <v>92.833</v>
      </c>
    </row>
    <row r="186" spans="1:14" s="187" customFormat="1" ht="12.75">
      <c r="A186" s="186"/>
      <c r="B186" s="61" t="s">
        <v>286</v>
      </c>
      <c r="C186" s="64" t="s">
        <v>283</v>
      </c>
      <c r="D186" s="62"/>
      <c r="E186" s="63"/>
      <c r="F186" s="175"/>
      <c r="G186" s="174"/>
      <c r="H186" s="67"/>
      <c r="I186" s="67"/>
      <c r="J186" s="174"/>
      <c r="K186" s="174"/>
      <c r="L186" s="174"/>
      <c r="M186" s="174"/>
      <c r="N186" s="174"/>
    </row>
    <row r="187" spans="1:14" s="187" customFormat="1" ht="12.75">
      <c r="A187" s="186" t="s">
        <v>466</v>
      </c>
      <c r="B187" s="61"/>
      <c r="C187" s="68" t="s">
        <v>284</v>
      </c>
      <c r="D187" s="62" t="s">
        <v>180</v>
      </c>
      <c r="E187" s="63">
        <v>196</v>
      </c>
      <c r="F187" s="175">
        <v>150</v>
      </c>
      <c r="G187" s="174">
        <f>E187</f>
        <v>196</v>
      </c>
      <c r="H187" s="67">
        <v>2.1</v>
      </c>
      <c r="I187" s="67">
        <v>4.59</v>
      </c>
      <c r="J187" s="174">
        <f>E187*H187</f>
        <v>411.6</v>
      </c>
      <c r="K187" s="174">
        <f>F187*H187</f>
        <v>315</v>
      </c>
      <c r="L187" s="174">
        <f>I187*(1+$M$11)</f>
        <v>5.967</v>
      </c>
      <c r="M187" s="174">
        <f>G187*I187</f>
        <v>899.64</v>
      </c>
      <c r="N187" s="174">
        <f>G187*L187</f>
        <v>1169.532</v>
      </c>
    </row>
    <row r="188" spans="1:14" s="187" customFormat="1" ht="12.75">
      <c r="A188" s="187" t="s">
        <v>466</v>
      </c>
      <c r="B188" s="61"/>
      <c r="C188" s="68" t="s">
        <v>285</v>
      </c>
      <c r="D188" s="62" t="s">
        <v>180</v>
      </c>
      <c r="E188" s="63">
        <v>12</v>
      </c>
      <c r="F188" s="175">
        <v>10</v>
      </c>
      <c r="G188" s="174">
        <f>E188</f>
        <v>12</v>
      </c>
      <c r="H188" s="67">
        <v>2.45</v>
      </c>
      <c r="I188" s="67">
        <v>5.7</v>
      </c>
      <c r="J188" s="174">
        <f t="shared" si="12"/>
        <v>29.400000000000002</v>
      </c>
      <c r="K188" s="174">
        <f>F188*H188</f>
        <v>24.5</v>
      </c>
      <c r="L188" s="174">
        <f>I188*(1+$M$11)</f>
        <v>7.41</v>
      </c>
      <c r="M188" s="174">
        <f>G188*I188</f>
        <v>68.4</v>
      </c>
      <c r="N188" s="174">
        <f>G188*L188</f>
        <v>88.92</v>
      </c>
    </row>
    <row r="189" spans="1:14" s="187" customFormat="1" ht="12.75">
      <c r="A189" s="186"/>
      <c r="B189" s="61" t="s">
        <v>286</v>
      </c>
      <c r="C189" s="64" t="s">
        <v>287</v>
      </c>
      <c r="D189" s="62"/>
      <c r="E189" s="63"/>
      <c r="F189" s="175"/>
      <c r="G189" s="174"/>
      <c r="H189" s="67"/>
      <c r="I189" s="174"/>
      <c r="J189" s="174"/>
      <c r="K189" s="174"/>
      <c r="L189" s="174"/>
      <c r="M189" s="174"/>
      <c r="N189" s="174"/>
    </row>
    <row r="190" spans="1:14" s="187" customFormat="1" ht="12.75">
      <c r="A190" s="186" t="s">
        <v>466</v>
      </c>
      <c r="B190" s="61"/>
      <c r="C190" s="68" t="s">
        <v>284</v>
      </c>
      <c r="D190" s="62" t="s">
        <v>180</v>
      </c>
      <c r="E190" s="63">
        <v>1</v>
      </c>
      <c r="F190" s="175">
        <v>1</v>
      </c>
      <c r="G190" s="174"/>
      <c r="H190" s="67"/>
      <c r="I190" s="174"/>
      <c r="J190" s="174"/>
      <c r="K190" s="174"/>
      <c r="L190" s="174"/>
      <c r="M190" s="174"/>
      <c r="N190" s="174"/>
    </row>
    <row r="191" spans="2:15" s="187" customFormat="1" ht="12.75">
      <c r="B191" s="61"/>
      <c r="C191" s="68" t="s">
        <v>285</v>
      </c>
      <c r="D191" s="62" t="s">
        <v>180</v>
      </c>
      <c r="E191" s="63">
        <v>2</v>
      </c>
      <c r="F191" s="175">
        <v>2</v>
      </c>
      <c r="G191" s="174"/>
      <c r="H191" s="67"/>
      <c r="I191" s="174"/>
      <c r="J191" s="174"/>
      <c r="K191" s="174"/>
      <c r="L191" s="174"/>
      <c r="M191" s="174"/>
      <c r="N191" s="174"/>
      <c r="O191" s="188"/>
    </row>
    <row r="192" spans="1:15" s="187" customFormat="1" ht="12.75">
      <c r="A192" s="186" t="s">
        <v>288</v>
      </c>
      <c r="B192" s="61" t="s">
        <v>511</v>
      </c>
      <c r="C192" s="64" t="s">
        <v>289</v>
      </c>
      <c r="D192" s="62" t="s">
        <v>180</v>
      </c>
      <c r="E192" s="63">
        <v>96</v>
      </c>
      <c r="F192" s="175"/>
      <c r="G192" s="174">
        <f t="shared" si="24"/>
        <v>96</v>
      </c>
      <c r="H192" s="67">
        <v>6</v>
      </c>
      <c r="I192" s="67">
        <v>4.92</v>
      </c>
      <c r="J192" s="174">
        <f t="shared" si="12"/>
        <v>576</v>
      </c>
      <c r="K192" s="174">
        <f t="shared" si="20"/>
        <v>0</v>
      </c>
      <c r="L192" s="174">
        <f aca="true" t="shared" si="25" ref="L192:L208">I192*(1+$M$11)</f>
        <v>6.396</v>
      </c>
      <c r="M192" s="174">
        <f aca="true" t="shared" si="26" ref="M192:M208">G192*I192</f>
        <v>472.32</v>
      </c>
      <c r="N192" s="174">
        <f aca="true" t="shared" si="27" ref="N192:N208">G192*L192</f>
        <v>614.016</v>
      </c>
      <c r="O192" s="188"/>
    </row>
    <row r="193" spans="1:14" s="187" customFormat="1" ht="12.75">
      <c r="A193" s="186" t="s">
        <v>290</v>
      </c>
      <c r="B193" s="61" t="s">
        <v>564</v>
      </c>
      <c r="C193" s="64" t="s">
        <v>291</v>
      </c>
      <c r="D193" s="62" t="s">
        <v>180</v>
      </c>
      <c r="E193" s="63">
        <v>3</v>
      </c>
      <c r="F193" s="175"/>
      <c r="G193" s="174">
        <f t="shared" si="24"/>
        <v>3</v>
      </c>
      <c r="H193" s="67">
        <v>10</v>
      </c>
      <c r="I193" s="67">
        <v>15.56</v>
      </c>
      <c r="J193" s="174">
        <f aca="true" t="shared" si="28" ref="J193:J258">E193*H193</f>
        <v>30</v>
      </c>
      <c r="K193" s="174">
        <f t="shared" si="20"/>
        <v>0</v>
      </c>
      <c r="L193" s="174">
        <f t="shared" si="25"/>
        <v>20.228</v>
      </c>
      <c r="M193" s="174">
        <f t="shared" si="26"/>
        <v>46.68</v>
      </c>
      <c r="N193" s="174">
        <f t="shared" si="27"/>
        <v>60.684000000000005</v>
      </c>
    </row>
    <row r="194" spans="1:14" s="187" customFormat="1" ht="12.75">
      <c r="A194" s="186" t="s">
        <v>292</v>
      </c>
      <c r="B194" s="61" t="s">
        <v>531</v>
      </c>
      <c r="C194" s="64" t="s">
        <v>293</v>
      </c>
      <c r="D194" s="62" t="s">
        <v>180</v>
      </c>
      <c r="E194" s="63">
        <v>16</v>
      </c>
      <c r="F194" s="175"/>
      <c r="G194" s="174">
        <f t="shared" si="24"/>
        <v>16</v>
      </c>
      <c r="H194" s="67">
        <v>22</v>
      </c>
      <c r="I194" s="67">
        <v>16.77</v>
      </c>
      <c r="J194" s="174">
        <f t="shared" si="28"/>
        <v>352</v>
      </c>
      <c r="K194" s="174">
        <f t="shared" si="20"/>
        <v>0</v>
      </c>
      <c r="L194" s="174">
        <f t="shared" si="25"/>
        <v>21.801000000000002</v>
      </c>
      <c r="M194" s="174">
        <f t="shared" si="26"/>
        <v>268.32</v>
      </c>
      <c r="N194" s="174">
        <f t="shared" si="27"/>
        <v>348.81600000000003</v>
      </c>
    </row>
    <row r="195" spans="1:14" s="187" customFormat="1" ht="25.5">
      <c r="A195" s="186" t="s">
        <v>294</v>
      </c>
      <c r="B195" s="61" t="s">
        <v>566</v>
      </c>
      <c r="C195" s="65" t="s">
        <v>295</v>
      </c>
      <c r="D195" s="102" t="s">
        <v>180</v>
      </c>
      <c r="E195" s="103">
        <v>3</v>
      </c>
      <c r="F195" s="175"/>
      <c r="G195" s="174">
        <f t="shared" si="24"/>
        <v>3</v>
      </c>
      <c r="H195" s="67">
        <v>16</v>
      </c>
      <c r="I195" s="67">
        <v>12.34</v>
      </c>
      <c r="J195" s="174">
        <f t="shared" si="28"/>
        <v>48</v>
      </c>
      <c r="K195" s="174">
        <f t="shared" si="20"/>
        <v>0</v>
      </c>
      <c r="L195" s="174">
        <f t="shared" si="25"/>
        <v>16.042</v>
      </c>
      <c r="M195" s="174">
        <f t="shared" si="26"/>
        <v>37.019999999999996</v>
      </c>
      <c r="N195" s="174">
        <f t="shared" si="27"/>
        <v>48.126000000000005</v>
      </c>
    </row>
    <row r="196" spans="1:14" s="187" customFormat="1" ht="12.75">
      <c r="A196" s="186" t="s">
        <v>296</v>
      </c>
      <c r="B196" s="61" t="s">
        <v>558</v>
      </c>
      <c r="C196" s="64" t="s">
        <v>297</v>
      </c>
      <c r="D196" s="62" t="s">
        <v>180</v>
      </c>
      <c r="E196" s="63">
        <v>7</v>
      </c>
      <c r="F196" s="175"/>
      <c r="G196" s="174">
        <f t="shared" si="24"/>
        <v>7</v>
      </c>
      <c r="H196" s="67">
        <v>10</v>
      </c>
      <c r="I196" s="67">
        <v>8.83</v>
      </c>
      <c r="J196" s="174">
        <f t="shared" si="28"/>
        <v>70</v>
      </c>
      <c r="K196" s="174">
        <f t="shared" si="20"/>
        <v>0</v>
      </c>
      <c r="L196" s="174">
        <f t="shared" si="25"/>
        <v>11.479000000000001</v>
      </c>
      <c r="M196" s="174">
        <f t="shared" si="26"/>
        <v>61.81</v>
      </c>
      <c r="N196" s="174">
        <f t="shared" si="27"/>
        <v>80.35300000000001</v>
      </c>
    </row>
    <row r="197" spans="1:14" s="187" customFormat="1" ht="12.75">
      <c r="A197" s="186" t="s">
        <v>298</v>
      </c>
      <c r="B197" s="61" t="s">
        <v>539</v>
      </c>
      <c r="C197" s="64" t="s">
        <v>299</v>
      </c>
      <c r="D197" s="62" t="s">
        <v>180</v>
      </c>
      <c r="E197" s="63">
        <v>30</v>
      </c>
      <c r="F197" s="175"/>
      <c r="G197" s="174">
        <f t="shared" si="24"/>
        <v>30</v>
      </c>
      <c r="H197" s="67">
        <v>6.5</v>
      </c>
      <c r="I197" s="67">
        <v>6.92</v>
      </c>
      <c r="J197" s="174">
        <f t="shared" si="28"/>
        <v>195</v>
      </c>
      <c r="K197" s="174">
        <f t="shared" si="20"/>
        <v>0</v>
      </c>
      <c r="L197" s="174">
        <f t="shared" si="25"/>
        <v>8.996</v>
      </c>
      <c r="M197" s="174">
        <f t="shared" si="26"/>
        <v>207.6</v>
      </c>
      <c r="N197" s="174">
        <f t="shared" si="27"/>
        <v>269.88</v>
      </c>
    </row>
    <row r="198" spans="1:14" s="187" customFormat="1" ht="12.75">
      <c r="A198" s="186" t="s">
        <v>300</v>
      </c>
      <c r="B198" s="61" t="s">
        <v>561</v>
      </c>
      <c r="C198" s="64" t="s">
        <v>301</v>
      </c>
      <c r="D198" s="62" t="s">
        <v>180</v>
      </c>
      <c r="E198" s="63">
        <v>6</v>
      </c>
      <c r="F198" s="175"/>
      <c r="G198" s="174">
        <f t="shared" si="24"/>
        <v>6</v>
      </c>
      <c r="H198" s="67">
        <v>10</v>
      </c>
      <c r="I198" s="67">
        <v>9.31</v>
      </c>
      <c r="J198" s="174">
        <f t="shared" si="28"/>
        <v>60</v>
      </c>
      <c r="K198" s="174">
        <f t="shared" si="20"/>
        <v>0</v>
      </c>
      <c r="L198" s="174">
        <f t="shared" si="25"/>
        <v>12.103000000000002</v>
      </c>
      <c r="M198" s="174">
        <f t="shared" si="26"/>
        <v>55.86</v>
      </c>
      <c r="N198" s="174">
        <f t="shared" si="27"/>
        <v>72.61800000000001</v>
      </c>
    </row>
    <row r="199" spans="1:14" s="187" customFormat="1" ht="12.75">
      <c r="A199" s="186" t="s">
        <v>302</v>
      </c>
      <c r="B199" s="61" t="s">
        <v>572</v>
      </c>
      <c r="C199" s="64" t="s">
        <v>303</v>
      </c>
      <c r="D199" s="62" t="s">
        <v>180</v>
      </c>
      <c r="E199" s="63">
        <v>1</v>
      </c>
      <c r="F199" s="175"/>
      <c r="G199" s="174">
        <f t="shared" si="24"/>
        <v>1</v>
      </c>
      <c r="H199" s="67">
        <v>14</v>
      </c>
      <c r="I199" s="67">
        <v>17.44</v>
      </c>
      <c r="J199" s="174">
        <f t="shared" si="28"/>
        <v>14</v>
      </c>
      <c r="K199" s="174">
        <f t="shared" si="20"/>
        <v>0</v>
      </c>
      <c r="L199" s="174">
        <f t="shared" si="25"/>
        <v>22.672000000000004</v>
      </c>
      <c r="M199" s="174">
        <f t="shared" si="26"/>
        <v>17.44</v>
      </c>
      <c r="N199" s="174">
        <f t="shared" si="27"/>
        <v>22.672000000000004</v>
      </c>
    </row>
    <row r="200" spans="1:14" s="187" customFormat="1" ht="12.75">
      <c r="A200" s="186" t="s">
        <v>304</v>
      </c>
      <c r="B200" s="61" t="s">
        <v>562</v>
      </c>
      <c r="C200" s="64" t="s">
        <v>305</v>
      </c>
      <c r="D200" s="62" t="s">
        <v>180</v>
      </c>
      <c r="E200" s="63">
        <v>6</v>
      </c>
      <c r="F200" s="175"/>
      <c r="G200" s="174">
        <f t="shared" si="24"/>
        <v>6</v>
      </c>
      <c r="H200" s="67">
        <v>7</v>
      </c>
      <c r="I200" s="67">
        <v>8.41</v>
      </c>
      <c r="J200" s="174">
        <f t="shared" si="28"/>
        <v>42</v>
      </c>
      <c r="K200" s="174">
        <f t="shared" si="20"/>
        <v>0</v>
      </c>
      <c r="L200" s="174">
        <f t="shared" si="25"/>
        <v>10.933</v>
      </c>
      <c r="M200" s="174">
        <f t="shared" si="26"/>
        <v>50.46</v>
      </c>
      <c r="N200" s="174">
        <f t="shared" si="27"/>
        <v>65.598</v>
      </c>
    </row>
    <row r="201" spans="1:14" s="187" customFormat="1" ht="25.5">
      <c r="A201" s="186" t="s">
        <v>306</v>
      </c>
      <c r="B201" s="61" t="s">
        <v>576</v>
      </c>
      <c r="C201" s="101" t="s">
        <v>307</v>
      </c>
      <c r="D201" s="62" t="s">
        <v>180</v>
      </c>
      <c r="E201" s="63">
        <v>4</v>
      </c>
      <c r="F201" s="175"/>
      <c r="G201" s="174">
        <f t="shared" si="24"/>
        <v>4</v>
      </c>
      <c r="H201" s="67">
        <v>1.67</v>
      </c>
      <c r="I201" s="67">
        <v>2.23</v>
      </c>
      <c r="J201" s="174">
        <f t="shared" si="28"/>
        <v>6.68</v>
      </c>
      <c r="K201" s="174">
        <f t="shared" si="20"/>
        <v>0</v>
      </c>
      <c r="L201" s="174">
        <f t="shared" si="25"/>
        <v>2.899</v>
      </c>
      <c r="M201" s="174">
        <f t="shared" si="26"/>
        <v>8.92</v>
      </c>
      <c r="N201" s="174">
        <f t="shared" si="27"/>
        <v>11.596</v>
      </c>
    </row>
    <row r="202" spans="1:14" s="187" customFormat="1" ht="12.75">
      <c r="A202" s="186" t="s">
        <v>466</v>
      </c>
      <c r="B202" s="61" t="s">
        <v>557</v>
      </c>
      <c r="C202" s="64" t="s">
        <v>308</v>
      </c>
      <c r="D202" s="62" t="s">
        <v>180</v>
      </c>
      <c r="E202" s="63">
        <v>3</v>
      </c>
      <c r="F202" s="175">
        <v>1</v>
      </c>
      <c r="G202" s="174">
        <v>3</v>
      </c>
      <c r="H202" s="67">
        <v>18.9</v>
      </c>
      <c r="I202" s="174">
        <v>22.39</v>
      </c>
      <c r="J202" s="174">
        <f t="shared" si="28"/>
        <v>56.699999999999996</v>
      </c>
      <c r="K202" s="174">
        <f t="shared" si="20"/>
        <v>18.9</v>
      </c>
      <c r="L202" s="174">
        <f t="shared" si="25"/>
        <v>29.107000000000003</v>
      </c>
      <c r="M202" s="174">
        <f t="shared" si="26"/>
        <v>67.17</v>
      </c>
      <c r="N202" s="174">
        <f t="shared" si="27"/>
        <v>87.32100000000001</v>
      </c>
    </row>
    <row r="203" spans="1:14" s="187" customFormat="1" ht="12.75">
      <c r="A203" s="186" t="s">
        <v>309</v>
      </c>
      <c r="B203" s="61" t="s">
        <v>544</v>
      </c>
      <c r="C203" s="64" t="s">
        <v>310</v>
      </c>
      <c r="D203" s="62" t="s">
        <v>180</v>
      </c>
      <c r="E203" s="63">
        <v>2</v>
      </c>
      <c r="F203" s="175">
        <v>1</v>
      </c>
      <c r="G203" s="174">
        <v>2</v>
      </c>
      <c r="H203" s="67">
        <v>22.45</v>
      </c>
      <c r="I203" s="174">
        <v>70.82</v>
      </c>
      <c r="J203" s="174">
        <f t="shared" si="28"/>
        <v>44.9</v>
      </c>
      <c r="K203" s="174">
        <f t="shared" si="20"/>
        <v>22.45</v>
      </c>
      <c r="L203" s="174">
        <f t="shared" si="25"/>
        <v>92.06599999999999</v>
      </c>
      <c r="M203" s="174">
        <f t="shared" si="26"/>
        <v>141.64</v>
      </c>
      <c r="N203" s="174">
        <f t="shared" si="27"/>
        <v>184.13199999999998</v>
      </c>
    </row>
    <row r="204" spans="1:14" s="187" customFormat="1" ht="12.75">
      <c r="A204" s="186" t="s">
        <v>311</v>
      </c>
      <c r="B204" s="61" t="s">
        <v>519</v>
      </c>
      <c r="C204" s="64" t="s">
        <v>312</v>
      </c>
      <c r="D204" s="62" t="s">
        <v>180</v>
      </c>
      <c r="E204" s="63">
        <f>2+1+2</f>
        <v>5</v>
      </c>
      <c r="F204" s="175">
        <v>3</v>
      </c>
      <c r="G204" s="174">
        <v>5</v>
      </c>
      <c r="H204" s="67">
        <v>23.4</v>
      </c>
      <c r="I204" s="67">
        <v>70.82</v>
      </c>
      <c r="J204" s="174">
        <f t="shared" si="28"/>
        <v>117</v>
      </c>
      <c r="K204" s="174">
        <f t="shared" si="20"/>
        <v>70.19999999999999</v>
      </c>
      <c r="L204" s="174">
        <f t="shared" si="25"/>
        <v>92.06599999999999</v>
      </c>
      <c r="M204" s="174">
        <f t="shared" si="26"/>
        <v>354.09999999999997</v>
      </c>
      <c r="N204" s="174">
        <f t="shared" si="27"/>
        <v>460.3299999999999</v>
      </c>
    </row>
    <row r="205" spans="1:14" s="187" customFormat="1" ht="12.75">
      <c r="A205" s="186" t="s">
        <v>313</v>
      </c>
      <c r="B205" s="61" t="s">
        <v>551</v>
      </c>
      <c r="C205" s="64" t="s">
        <v>314</v>
      </c>
      <c r="D205" s="62" t="s">
        <v>180</v>
      </c>
      <c r="E205" s="63">
        <v>1</v>
      </c>
      <c r="F205" s="175">
        <v>1</v>
      </c>
      <c r="G205" s="174">
        <v>1</v>
      </c>
      <c r="H205" s="67">
        <v>43</v>
      </c>
      <c r="I205" s="67">
        <v>116.49</v>
      </c>
      <c r="J205" s="174">
        <f t="shared" si="28"/>
        <v>43</v>
      </c>
      <c r="K205" s="174">
        <f t="shared" si="20"/>
        <v>43</v>
      </c>
      <c r="L205" s="174">
        <f t="shared" si="25"/>
        <v>151.437</v>
      </c>
      <c r="M205" s="174">
        <f t="shared" si="26"/>
        <v>116.49</v>
      </c>
      <c r="N205" s="174">
        <f t="shared" si="27"/>
        <v>151.437</v>
      </c>
    </row>
    <row r="206" spans="1:14" s="187" customFormat="1" ht="12.75">
      <c r="A206" s="186" t="s">
        <v>315</v>
      </c>
      <c r="B206" s="61" t="s">
        <v>520</v>
      </c>
      <c r="C206" s="64" t="s">
        <v>316</v>
      </c>
      <c r="D206" s="62" t="s">
        <v>180</v>
      </c>
      <c r="E206" s="63">
        <f>1+2</f>
        <v>3</v>
      </c>
      <c r="F206" s="175"/>
      <c r="G206" s="174">
        <f t="shared" si="24"/>
        <v>3</v>
      </c>
      <c r="H206" s="67">
        <v>67</v>
      </c>
      <c r="I206" s="67">
        <v>116.49</v>
      </c>
      <c r="J206" s="174">
        <f t="shared" si="28"/>
        <v>201</v>
      </c>
      <c r="K206" s="174">
        <f t="shared" si="20"/>
        <v>0</v>
      </c>
      <c r="L206" s="174">
        <f t="shared" si="25"/>
        <v>151.437</v>
      </c>
      <c r="M206" s="174">
        <f t="shared" si="26"/>
        <v>349.46999999999997</v>
      </c>
      <c r="N206" s="174">
        <f t="shared" si="27"/>
        <v>454.31100000000004</v>
      </c>
    </row>
    <row r="207" spans="1:14" s="187" customFormat="1" ht="12.75">
      <c r="A207" s="186" t="s">
        <v>317</v>
      </c>
      <c r="B207" s="61" t="s">
        <v>540</v>
      </c>
      <c r="C207" s="64" t="s">
        <v>318</v>
      </c>
      <c r="D207" s="62" t="s">
        <v>180</v>
      </c>
      <c r="E207" s="63">
        <v>6</v>
      </c>
      <c r="F207" s="175"/>
      <c r="G207" s="174">
        <f t="shared" si="24"/>
        <v>6</v>
      </c>
      <c r="H207" s="67">
        <v>22</v>
      </c>
      <c r="I207" s="67">
        <v>32.78</v>
      </c>
      <c r="J207" s="174">
        <f t="shared" si="28"/>
        <v>132</v>
      </c>
      <c r="K207" s="174">
        <f t="shared" si="20"/>
        <v>0</v>
      </c>
      <c r="L207" s="174">
        <f t="shared" si="25"/>
        <v>42.614000000000004</v>
      </c>
      <c r="M207" s="174">
        <f t="shared" si="26"/>
        <v>196.68</v>
      </c>
      <c r="N207" s="174">
        <f t="shared" si="27"/>
        <v>255.68400000000003</v>
      </c>
    </row>
    <row r="208" spans="1:14" s="187" customFormat="1" ht="25.5">
      <c r="A208" s="186" t="s">
        <v>319</v>
      </c>
      <c r="B208" s="61" t="s">
        <v>529</v>
      </c>
      <c r="C208" s="101" t="s">
        <v>320</v>
      </c>
      <c r="D208" s="62" t="s">
        <v>180</v>
      </c>
      <c r="E208" s="63">
        <v>5</v>
      </c>
      <c r="F208" s="175">
        <v>5</v>
      </c>
      <c r="G208" s="174">
        <v>5</v>
      </c>
      <c r="H208" s="67">
        <v>39.7</v>
      </c>
      <c r="I208" s="67">
        <v>56.27</v>
      </c>
      <c r="J208" s="174">
        <f t="shared" si="28"/>
        <v>198.5</v>
      </c>
      <c r="K208" s="174">
        <f t="shared" si="20"/>
        <v>198.5</v>
      </c>
      <c r="L208" s="174">
        <f t="shared" si="25"/>
        <v>73.15100000000001</v>
      </c>
      <c r="M208" s="174">
        <f t="shared" si="26"/>
        <v>281.35</v>
      </c>
      <c r="N208" s="174">
        <f t="shared" si="27"/>
        <v>365.75500000000005</v>
      </c>
    </row>
    <row r="209" spans="1:15" s="192" customFormat="1" ht="15.75">
      <c r="A209" s="191"/>
      <c r="B209" s="69"/>
      <c r="C209" s="70" t="s">
        <v>321</v>
      </c>
      <c r="D209" s="71"/>
      <c r="E209" s="72"/>
      <c r="F209" s="25"/>
      <c r="G209" s="179"/>
      <c r="H209" s="179"/>
      <c r="I209" s="179"/>
      <c r="J209" s="179">
        <f>SUM(J129:J208)</f>
        <v>25183.120000000006</v>
      </c>
      <c r="K209" s="179">
        <f>SUM(K129:K208)</f>
        <v>2383.3299999999995</v>
      </c>
      <c r="L209" s="179"/>
      <c r="M209" s="179">
        <f>SUM(M129:M208)</f>
        <v>33527.557</v>
      </c>
      <c r="N209" s="179">
        <f>SUM(N129:N208)</f>
        <v>43585.8241</v>
      </c>
      <c r="O209" s="180"/>
    </row>
    <row r="210" spans="1:14" s="187" customFormat="1" ht="12.75">
      <c r="A210" s="186"/>
      <c r="B210" s="61"/>
      <c r="C210" s="73"/>
      <c r="D210" s="74"/>
      <c r="E210" s="75"/>
      <c r="F210" s="175"/>
      <c r="G210" s="174"/>
      <c r="H210" s="174"/>
      <c r="I210" s="174"/>
      <c r="J210" s="174"/>
      <c r="K210" s="174"/>
      <c r="L210" s="174"/>
      <c r="M210" s="174"/>
      <c r="N210" s="174"/>
    </row>
    <row r="211" spans="1:14" s="187" customFormat="1" ht="12.75">
      <c r="A211" s="186"/>
      <c r="B211" s="76">
        <v>12</v>
      </c>
      <c r="C211" s="77" t="s">
        <v>322</v>
      </c>
      <c r="D211" s="66"/>
      <c r="E211" s="78"/>
      <c r="F211" s="175"/>
      <c r="G211" s="174"/>
      <c r="H211" s="174"/>
      <c r="I211" s="174"/>
      <c r="J211" s="174"/>
      <c r="K211" s="174"/>
      <c r="L211" s="174"/>
      <c r="M211" s="174"/>
      <c r="N211" s="174"/>
    </row>
    <row r="212" spans="1:14" s="187" customFormat="1" ht="12.75">
      <c r="A212" s="186"/>
      <c r="B212" s="76" t="s">
        <v>323</v>
      </c>
      <c r="C212" s="77" t="s">
        <v>324</v>
      </c>
      <c r="D212" s="66"/>
      <c r="E212" s="78"/>
      <c r="F212" s="175"/>
      <c r="G212" s="174"/>
      <c r="H212" s="174"/>
      <c r="I212" s="174"/>
      <c r="J212" s="174"/>
      <c r="K212" s="174"/>
      <c r="L212" s="174"/>
      <c r="M212" s="174"/>
      <c r="N212" s="174"/>
    </row>
    <row r="213" spans="1:14" s="187" customFormat="1" ht="12.75">
      <c r="A213" s="186"/>
      <c r="B213" s="79" t="s">
        <v>325</v>
      </c>
      <c r="C213" s="80" t="s">
        <v>326</v>
      </c>
      <c r="D213" s="66"/>
      <c r="E213" s="78"/>
      <c r="F213" s="175"/>
      <c r="G213" s="174"/>
      <c r="H213" s="174"/>
      <c r="I213" s="174"/>
      <c r="J213" s="174"/>
      <c r="K213" s="174"/>
      <c r="L213" s="174"/>
      <c r="M213" s="174"/>
      <c r="N213" s="174"/>
    </row>
    <row r="214" spans="1:14" s="187" customFormat="1" ht="12.75">
      <c r="A214" s="186" t="s">
        <v>466</v>
      </c>
      <c r="B214" s="79"/>
      <c r="C214" s="97" t="s">
        <v>327</v>
      </c>
      <c r="D214" s="66" t="s">
        <v>28</v>
      </c>
      <c r="E214" s="78">
        <v>44</v>
      </c>
      <c r="F214" s="175">
        <v>22</v>
      </c>
      <c r="G214" s="174">
        <f aca="true" t="shared" si="29" ref="G214:G277">E214-F214</f>
        <v>22</v>
      </c>
      <c r="H214" s="67">
        <v>5</v>
      </c>
      <c r="I214" s="67">
        <v>8.68</v>
      </c>
      <c r="J214" s="174">
        <f t="shared" si="28"/>
        <v>220</v>
      </c>
      <c r="K214" s="174">
        <f aca="true" t="shared" si="30" ref="K214:K279">F214*H214</f>
        <v>110</v>
      </c>
      <c r="L214" s="174">
        <f>I214*(1+$M$11)</f>
        <v>11.284</v>
      </c>
      <c r="M214" s="174">
        <f>G214*I214</f>
        <v>190.95999999999998</v>
      </c>
      <c r="N214" s="174">
        <f>G214*L214</f>
        <v>248.24800000000002</v>
      </c>
    </row>
    <row r="215" spans="1:14" s="187" customFormat="1" ht="12.75">
      <c r="A215" s="186" t="s">
        <v>328</v>
      </c>
      <c r="B215" s="79"/>
      <c r="C215" s="97" t="s">
        <v>329</v>
      </c>
      <c r="D215" s="66" t="s">
        <v>28</v>
      </c>
      <c r="E215" s="78">
        <v>290</v>
      </c>
      <c r="F215" s="175">
        <v>140</v>
      </c>
      <c r="G215" s="174">
        <f t="shared" si="29"/>
        <v>150</v>
      </c>
      <c r="H215" s="67">
        <v>7</v>
      </c>
      <c r="I215" s="67">
        <v>10.46</v>
      </c>
      <c r="J215" s="174">
        <f t="shared" si="28"/>
        <v>2030</v>
      </c>
      <c r="K215" s="174">
        <f t="shared" si="30"/>
        <v>980</v>
      </c>
      <c r="L215" s="174">
        <f>I215*(1+$M$11)</f>
        <v>13.598</v>
      </c>
      <c r="M215" s="174">
        <f>G215*I215</f>
        <v>1569.0000000000002</v>
      </c>
      <c r="N215" s="174">
        <f>G215*L215</f>
        <v>2039.7</v>
      </c>
    </row>
    <row r="216" spans="1:14" s="187" customFormat="1" ht="12.75">
      <c r="A216" s="186" t="s">
        <v>330</v>
      </c>
      <c r="B216" s="79"/>
      <c r="C216" s="97" t="s">
        <v>331</v>
      </c>
      <c r="D216" s="66" t="s">
        <v>28</v>
      </c>
      <c r="E216" s="78">
        <v>24</v>
      </c>
      <c r="F216" s="175">
        <v>12</v>
      </c>
      <c r="G216" s="174">
        <f t="shared" si="29"/>
        <v>12</v>
      </c>
      <c r="H216" s="67">
        <v>10</v>
      </c>
      <c r="I216" s="67">
        <v>15.03</v>
      </c>
      <c r="J216" s="174">
        <f t="shared" si="28"/>
        <v>240</v>
      </c>
      <c r="K216" s="174">
        <f t="shared" si="30"/>
        <v>120</v>
      </c>
      <c r="L216" s="174">
        <f>I216*(1+$M$11)</f>
        <v>19.539</v>
      </c>
      <c r="M216" s="174">
        <f>G216*I216</f>
        <v>180.35999999999999</v>
      </c>
      <c r="N216" s="174">
        <f>G216*L216</f>
        <v>234.46800000000002</v>
      </c>
    </row>
    <row r="217" spans="1:14" s="187" customFormat="1" ht="12.75">
      <c r="A217" s="186" t="s">
        <v>332</v>
      </c>
      <c r="B217" s="79"/>
      <c r="C217" s="97" t="s">
        <v>333</v>
      </c>
      <c r="D217" s="66" t="s">
        <v>28</v>
      </c>
      <c r="E217" s="78">
        <v>48</v>
      </c>
      <c r="F217" s="175">
        <v>24</v>
      </c>
      <c r="G217" s="174">
        <f t="shared" si="29"/>
        <v>24</v>
      </c>
      <c r="H217" s="67">
        <v>13</v>
      </c>
      <c r="I217" s="67">
        <v>21.14</v>
      </c>
      <c r="J217" s="174">
        <f t="shared" si="28"/>
        <v>624</v>
      </c>
      <c r="K217" s="174">
        <f t="shared" si="30"/>
        <v>312</v>
      </c>
      <c r="L217" s="174">
        <f>I217*(1+$M$11)</f>
        <v>27.482000000000003</v>
      </c>
      <c r="M217" s="174">
        <f>G217*I217</f>
        <v>507.36</v>
      </c>
      <c r="N217" s="174">
        <f>G217*L217</f>
        <v>659.5680000000001</v>
      </c>
    </row>
    <row r="218" spans="1:14" s="187" customFormat="1" ht="12.75">
      <c r="A218" s="186" t="s">
        <v>334</v>
      </c>
      <c r="B218" s="79"/>
      <c r="C218" s="97" t="s">
        <v>335</v>
      </c>
      <c r="D218" s="66" t="s">
        <v>28</v>
      </c>
      <c r="E218" s="78">
        <v>1</v>
      </c>
      <c r="F218" s="175">
        <v>0.5</v>
      </c>
      <c r="G218" s="174">
        <f t="shared" si="29"/>
        <v>0.5</v>
      </c>
      <c r="H218" s="67">
        <v>22</v>
      </c>
      <c r="I218" s="67">
        <v>31.76</v>
      </c>
      <c r="J218" s="174">
        <f t="shared" si="28"/>
        <v>22</v>
      </c>
      <c r="K218" s="174">
        <f t="shared" si="30"/>
        <v>11</v>
      </c>
      <c r="L218" s="174">
        <f>I218*(1+$M$11)</f>
        <v>41.288000000000004</v>
      </c>
      <c r="M218" s="174">
        <f>G218*I218</f>
        <v>15.88</v>
      </c>
      <c r="N218" s="174">
        <f>G218*L218</f>
        <v>20.644000000000002</v>
      </c>
    </row>
    <row r="219" spans="1:14" s="187" customFormat="1" ht="12.75">
      <c r="A219" s="186"/>
      <c r="B219" s="79" t="s">
        <v>336</v>
      </c>
      <c r="C219" s="80" t="s">
        <v>337</v>
      </c>
      <c r="D219" s="66"/>
      <c r="E219" s="78"/>
      <c r="F219" s="175"/>
      <c r="G219" s="174"/>
      <c r="H219" s="67"/>
      <c r="I219" s="174"/>
      <c r="J219" s="174"/>
      <c r="K219" s="174"/>
      <c r="L219" s="174"/>
      <c r="M219" s="174"/>
      <c r="N219" s="174"/>
    </row>
    <row r="220" spans="1:14" s="187" customFormat="1" ht="12.75">
      <c r="A220" s="186" t="s">
        <v>338</v>
      </c>
      <c r="B220" s="79"/>
      <c r="C220" s="97" t="s">
        <v>339</v>
      </c>
      <c r="D220" s="66" t="s">
        <v>77</v>
      </c>
      <c r="E220" s="78">
        <v>6</v>
      </c>
      <c r="F220" s="175"/>
      <c r="G220" s="174">
        <f t="shared" si="29"/>
        <v>6</v>
      </c>
      <c r="H220" s="67">
        <v>16</v>
      </c>
      <c r="I220" s="67">
        <v>28.3</v>
      </c>
      <c r="J220" s="174">
        <f t="shared" si="28"/>
        <v>96</v>
      </c>
      <c r="K220" s="174">
        <f t="shared" si="30"/>
        <v>0</v>
      </c>
      <c r="L220" s="174">
        <f>I220*(1+$M$11)</f>
        <v>36.79</v>
      </c>
      <c r="M220" s="174">
        <f>G220*I220</f>
        <v>169.8</v>
      </c>
      <c r="N220" s="174">
        <f>G220*L220</f>
        <v>220.74</v>
      </c>
    </row>
    <row r="221" spans="1:14" s="187" customFormat="1" ht="12.75">
      <c r="A221" s="186" t="s">
        <v>340</v>
      </c>
      <c r="B221" s="79"/>
      <c r="C221" s="97" t="s">
        <v>341</v>
      </c>
      <c r="D221" s="66" t="s">
        <v>77</v>
      </c>
      <c r="E221" s="78">
        <v>9</v>
      </c>
      <c r="F221" s="175"/>
      <c r="G221" s="174">
        <f t="shared" si="29"/>
        <v>9</v>
      </c>
      <c r="H221" s="67">
        <v>18</v>
      </c>
      <c r="I221" s="67">
        <v>29.38</v>
      </c>
      <c r="J221" s="174">
        <f t="shared" si="28"/>
        <v>162</v>
      </c>
      <c r="K221" s="174">
        <f t="shared" si="30"/>
        <v>0</v>
      </c>
      <c r="L221" s="174">
        <f>I221*(1+$M$11)</f>
        <v>38.194</v>
      </c>
      <c r="M221" s="174">
        <f>G221*I221</f>
        <v>264.42</v>
      </c>
      <c r="N221" s="174">
        <f>G221*L221</f>
        <v>343.74600000000004</v>
      </c>
    </row>
    <row r="222" spans="1:14" s="187" customFormat="1" ht="12.75">
      <c r="A222" s="186" t="s">
        <v>342</v>
      </c>
      <c r="B222" s="79"/>
      <c r="C222" s="97" t="s">
        <v>343</v>
      </c>
      <c r="D222" s="66" t="s">
        <v>77</v>
      </c>
      <c r="E222" s="78">
        <v>3</v>
      </c>
      <c r="F222" s="175"/>
      <c r="G222" s="174">
        <f t="shared" si="29"/>
        <v>3</v>
      </c>
      <c r="H222" s="67">
        <v>24</v>
      </c>
      <c r="I222" s="67">
        <v>37.45</v>
      </c>
      <c r="J222" s="174">
        <f t="shared" si="28"/>
        <v>72</v>
      </c>
      <c r="K222" s="174">
        <f t="shared" si="30"/>
        <v>0</v>
      </c>
      <c r="L222" s="174">
        <f>I222*(1+$M$11)</f>
        <v>48.685</v>
      </c>
      <c r="M222" s="174">
        <f>G222*I222</f>
        <v>112.35000000000001</v>
      </c>
      <c r="N222" s="174">
        <f>G222*L222</f>
        <v>146.055</v>
      </c>
    </row>
    <row r="223" spans="1:14" s="187" customFormat="1" ht="12.75">
      <c r="A223" s="186" t="s">
        <v>344</v>
      </c>
      <c r="B223" s="79"/>
      <c r="C223" s="97" t="s">
        <v>345</v>
      </c>
      <c r="D223" s="66" t="s">
        <v>77</v>
      </c>
      <c r="E223" s="78">
        <v>6</v>
      </c>
      <c r="F223" s="175"/>
      <c r="G223" s="174">
        <f t="shared" si="29"/>
        <v>6</v>
      </c>
      <c r="H223" s="67">
        <v>32</v>
      </c>
      <c r="I223" s="67">
        <v>62.79</v>
      </c>
      <c r="J223" s="174">
        <f t="shared" si="28"/>
        <v>192</v>
      </c>
      <c r="K223" s="174">
        <f t="shared" si="30"/>
        <v>0</v>
      </c>
      <c r="L223" s="174">
        <f>I223*(1+$M$11)</f>
        <v>81.627</v>
      </c>
      <c r="M223" s="174">
        <f>G223*I223</f>
        <v>376.74</v>
      </c>
      <c r="N223" s="174">
        <f>G223*L223</f>
        <v>489.76199999999994</v>
      </c>
    </row>
    <row r="224" spans="1:14" s="187" customFormat="1" ht="12.75">
      <c r="A224" s="186" t="s">
        <v>346</v>
      </c>
      <c r="B224" s="79"/>
      <c r="C224" s="97" t="s">
        <v>347</v>
      </c>
      <c r="D224" s="66" t="s">
        <v>77</v>
      </c>
      <c r="E224" s="78">
        <v>1</v>
      </c>
      <c r="F224" s="175"/>
      <c r="G224" s="174">
        <f t="shared" si="29"/>
        <v>1</v>
      </c>
      <c r="H224" s="67">
        <v>55</v>
      </c>
      <c r="I224" s="67">
        <v>86.39</v>
      </c>
      <c r="J224" s="174">
        <f t="shared" si="28"/>
        <v>55</v>
      </c>
      <c r="K224" s="174">
        <f t="shared" si="30"/>
        <v>0</v>
      </c>
      <c r="L224" s="174">
        <f>I224*(1+$M$11)</f>
        <v>112.307</v>
      </c>
      <c r="M224" s="174">
        <f>G224*I224</f>
        <v>86.39</v>
      </c>
      <c r="N224" s="174">
        <f>G224*L224</f>
        <v>112.307</v>
      </c>
    </row>
    <row r="225" spans="1:14" s="187" customFormat="1" ht="12.75">
      <c r="A225" s="186"/>
      <c r="B225" s="79" t="s">
        <v>348</v>
      </c>
      <c r="C225" s="80" t="s">
        <v>349</v>
      </c>
      <c r="D225" s="66"/>
      <c r="E225" s="78"/>
      <c r="F225" s="175"/>
      <c r="G225" s="174"/>
      <c r="H225" s="67"/>
      <c r="I225" s="174"/>
      <c r="J225" s="174"/>
      <c r="K225" s="174"/>
      <c r="L225" s="174"/>
      <c r="M225" s="174"/>
      <c r="N225" s="174"/>
    </row>
    <row r="226" spans="1:14" s="187" customFormat="1" ht="12.75">
      <c r="A226" s="186" t="s">
        <v>350</v>
      </c>
      <c r="B226" s="79"/>
      <c r="C226" s="97" t="s">
        <v>351</v>
      </c>
      <c r="D226" s="66" t="s">
        <v>77</v>
      </c>
      <c r="E226" s="78">
        <v>21</v>
      </c>
      <c r="F226" s="175">
        <v>10</v>
      </c>
      <c r="G226" s="174">
        <v>21</v>
      </c>
      <c r="H226" s="67">
        <v>4</v>
      </c>
      <c r="I226" s="67">
        <v>7.09</v>
      </c>
      <c r="J226" s="174">
        <f t="shared" si="28"/>
        <v>84</v>
      </c>
      <c r="K226" s="174">
        <f t="shared" si="30"/>
        <v>40</v>
      </c>
      <c r="L226" s="174">
        <f>I226*(1+$M$11)</f>
        <v>9.217</v>
      </c>
      <c r="M226" s="174">
        <f>G226*I226</f>
        <v>148.89</v>
      </c>
      <c r="N226" s="174">
        <f>G226*L226</f>
        <v>193.55700000000002</v>
      </c>
    </row>
    <row r="227" spans="1:14" s="187" customFormat="1" ht="12.75">
      <c r="A227" s="186" t="s">
        <v>352</v>
      </c>
      <c r="B227" s="79"/>
      <c r="C227" s="97" t="s">
        <v>353</v>
      </c>
      <c r="D227" s="66" t="s">
        <v>77</v>
      </c>
      <c r="E227" s="78">
        <v>16</v>
      </c>
      <c r="F227" s="175">
        <v>8</v>
      </c>
      <c r="G227" s="174">
        <v>16</v>
      </c>
      <c r="H227" s="67">
        <v>4.9</v>
      </c>
      <c r="I227" s="67">
        <v>7.83</v>
      </c>
      <c r="J227" s="174">
        <f t="shared" si="28"/>
        <v>78.4</v>
      </c>
      <c r="K227" s="174">
        <f t="shared" si="30"/>
        <v>39.2</v>
      </c>
      <c r="L227" s="174">
        <f>I227*(1+$M$11)</f>
        <v>10.179</v>
      </c>
      <c r="M227" s="174">
        <f>G227*I227</f>
        <v>125.28</v>
      </c>
      <c r="N227" s="174">
        <f>G227*L227</f>
        <v>162.864</v>
      </c>
    </row>
    <row r="228" spans="1:14" s="187" customFormat="1" ht="12.75">
      <c r="A228" s="186"/>
      <c r="B228" s="79" t="s">
        <v>563</v>
      </c>
      <c r="C228" s="80" t="s">
        <v>354</v>
      </c>
      <c r="D228" s="66"/>
      <c r="E228" s="78"/>
      <c r="F228" s="175"/>
      <c r="G228" s="174"/>
      <c r="H228" s="67"/>
      <c r="I228" s="174"/>
      <c r="J228" s="174"/>
      <c r="K228" s="174"/>
      <c r="L228" s="174"/>
      <c r="M228" s="174"/>
      <c r="N228" s="174"/>
    </row>
    <row r="229" spans="1:14" s="187" customFormat="1" ht="12.75">
      <c r="A229" s="186" t="s">
        <v>355</v>
      </c>
      <c r="B229" s="79"/>
      <c r="C229" s="97" t="s">
        <v>458</v>
      </c>
      <c r="D229" s="66" t="s">
        <v>77</v>
      </c>
      <c r="E229" s="78">
        <v>8</v>
      </c>
      <c r="F229" s="175">
        <v>4</v>
      </c>
      <c r="G229" s="174">
        <v>8</v>
      </c>
      <c r="H229" s="67">
        <v>5</v>
      </c>
      <c r="I229" s="67">
        <v>6.16</v>
      </c>
      <c r="J229" s="174">
        <f t="shared" si="28"/>
        <v>40</v>
      </c>
      <c r="K229" s="174">
        <f t="shared" si="30"/>
        <v>20</v>
      </c>
      <c r="L229" s="174">
        <f>I229*(1+$M$11)</f>
        <v>8.008000000000001</v>
      </c>
      <c r="M229" s="174">
        <f>G229*I229</f>
        <v>49.28</v>
      </c>
      <c r="N229" s="174">
        <f>G229*L229</f>
        <v>64.06400000000001</v>
      </c>
    </row>
    <row r="230" spans="1:14" s="187" customFormat="1" ht="12.75">
      <c r="A230" s="186"/>
      <c r="B230" s="79" t="s">
        <v>535</v>
      </c>
      <c r="C230" s="80" t="s">
        <v>356</v>
      </c>
      <c r="D230" s="66"/>
      <c r="E230" s="78"/>
      <c r="F230" s="175"/>
      <c r="G230" s="174"/>
      <c r="H230" s="67"/>
      <c r="I230" s="174"/>
      <c r="J230" s="174"/>
      <c r="K230" s="174">
        <f t="shared" si="30"/>
        <v>0</v>
      </c>
      <c r="L230" s="174"/>
      <c r="M230" s="174"/>
      <c r="N230" s="174"/>
    </row>
    <row r="231" spans="1:14" s="187" customFormat="1" ht="12.75">
      <c r="A231" s="186" t="s">
        <v>357</v>
      </c>
      <c r="B231" s="79"/>
      <c r="C231" s="97" t="s">
        <v>341</v>
      </c>
      <c r="D231" s="66" t="s">
        <v>77</v>
      </c>
      <c r="E231" s="78">
        <v>4</v>
      </c>
      <c r="F231" s="175">
        <v>4</v>
      </c>
      <c r="G231" s="174">
        <v>4</v>
      </c>
      <c r="H231" s="67">
        <v>43</v>
      </c>
      <c r="I231" s="67">
        <v>56.96</v>
      </c>
      <c r="J231" s="174">
        <f t="shared" si="28"/>
        <v>172</v>
      </c>
      <c r="K231" s="174">
        <f t="shared" si="30"/>
        <v>172</v>
      </c>
      <c r="L231" s="174">
        <f>I231*(1+$M$11)</f>
        <v>74.048</v>
      </c>
      <c r="M231" s="174">
        <f>G231*I231</f>
        <v>227.84</v>
      </c>
      <c r="N231" s="174">
        <f>G231*L231</f>
        <v>296.192</v>
      </c>
    </row>
    <row r="232" spans="1:14" s="187" customFormat="1" ht="12.75">
      <c r="A232" s="186"/>
      <c r="B232" s="79" t="s">
        <v>358</v>
      </c>
      <c r="C232" s="80" t="s">
        <v>359</v>
      </c>
      <c r="D232" s="66"/>
      <c r="E232" s="78"/>
      <c r="F232" s="175"/>
      <c r="G232" s="174"/>
      <c r="H232" s="67"/>
      <c r="I232" s="174"/>
      <c r="J232" s="174"/>
      <c r="K232" s="174">
        <f t="shared" si="30"/>
        <v>0</v>
      </c>
      <c r="L232" s="174"/>
      <c r="M232" s="174"/>
      <c r="N232" s="174"/>
    </row>
    <row r="233" spans="1:14" s="187" customFormat="1" ht="12.75">
      <c r="A233" s="186" t="s">
        <v>360</v>
      </c>
      <c r="B233" s="79"/>
      <c r="C233" s="97" t="s">
        <v>263</v>
      </c>
      <c r="D233" s="66" t="s">
        <v>77</v>
      </c>
      <c r="E233" s="78">
        <v>9</v>
      </c>
      <c r="F233" s="175"/>
      <c r="G233" s="174">
        <f t="shared" si="29"/>
        <v>9</v>
      </c>
      <c r="H233" s="67">
        <v>72</v>
      </c>
      <c r="I233" s="67">
        <v>106.11</v>
      </c>
      <c r="J233" s="174">
        <f t="shared" si="28"/>
        <v>648</v>
      </c>
      <c r="K233" s="174">
        <f t="shared" si="30"/>
        <v>0</v>
      </c>
      <c r="L233" s="174">
        <f aca="true" t="shared" si="31" ref="L233:L238">I233*(1+$M$11)</f>
        <v>137.943</v>
      </c>
      <c r="M233" s="174">
        <f aca="true" t="shared" si="32" ref="M233:M238">G233*I233</f>
        <v>954.99</v>
      </c>
      <c r="N233" s="174">
        <f aca="true" t="shared" si="33" ref="N233:N238">G233*L233</f>
        <v>1241.487</v>
      </c>
    </row>
    <row r="234" spans="1:14" s="187" customFormat="1" ht="12.75">
      <c r="A234" s="186" t="s">
        <v>361</v>
      </c>
      <c r="B234" s="79"/>
      <c r="C234" s="97" t="s">
        <v>343</v>
      </c>
      <c r="D234" s="66" t="s">
        <v>77</v>
      </c>
      <c r="E234" s="78">
        <v>3</v>
      </c>
      <c r="F234" s="175"/>
      <c r="G234" s="174">
        <f t="shared" si="29"/>
        <v>3</v>
      </c>
      <c r="H234" s="67">
        <v>61</v>
      </c>
      <c r="I234" s="67">
        <v>65.49</v>
      </c>
      <c r="J234" s="174">
        <f t="shared" si="28"/>
        <v>183</v>
      </c>
      <c r="K234" s="174">
        <f t="shared" si="30"/>
        <v>0</v>
      </c>
      <c r="L234" s="174">
        <f t="shared" si="31"/>
        <v>85.137</v>
      </c>
      <c r="M234" s="174">
        <f t="shared" si="32"/>
        <v>196.46999999999997</v>
      </c>
      <c r="N234" s="174">
        <f t="shared" si="33"/>
        <v>255.411</v>
      </c>
    </row>
    <row r="235" spans="1:14" s="187" customFormat="1" ht="12.75">
      <c r="A235" s="186" t="s">
        <v>362</v>
      </c>
      <c r="B235" s="79"/>
      <c r="C235" s="97" t="s">
        <v>341</v>
      </c>
      <c r="D235" s="66" t="s">
        <v>77</v>
      </c>
      <c r="E235" s="78">
        <v>17</v>
      </c>
      <c r="F235" s="175"/>
      <c r="G235" s="174">
        <f t="shared" si="29"/>
        <v>17</v>
      </c>
      <c r="H235" s="67">
        <v>34</v>
      </c>
      <c r="I235" s="67">
        <v>56.55</v>
      </c>
      <c r="J235" s="174">
        <f t="shared" si="28"/>
        <v>578</v>
      </c>
      <c r="K235" s="174">
        <f t="shared" si="30"/>
        <v>0</v>
      </c>
      <c r="L235" s="174">
        <f t="shared" si="31"/>
        <v>73.515</v>
      </c>
      <c r="M235" s="174">
        <f t="shared" si="32"/>
        <v>961.3499999999999</v>
      </c>
      <c r="N235" s="174">
        <f t="shared" si="33"/>
        <v>1249.755</v>
      </c>
    </row>
    <row r="236" spans="1:14" s="187" customFormat="1" ht="12.75">
      <c r="A236" s="186" t="s">
        <v>363</v>
      </c>
      <c r="B236" s="79" t="s">
        <v>494</v>
      </c>
      <c r="C236" s="80" t="s">
        <v>364</v>
      </c>
      <c r="D236" s="66" t="s">
        <v>77</v>
      </c>
      <c r="E236" s="78">
        <v>10</v>
      </c>
      <c r="F236" s="175">
        <v>4</v>
      </c>
      <c r="G236" s="174">
        <v>10</v>
      </c>
      <c r="H236" s="67">
        <v>123.6</v>
      </c>
      <c r="I236" s="67">
        <v>178.84</v>
      </c>
      <c r="J236" s="174">
        <f t="shared" si="28"/>
        <v>1236</v>
      </c>
      <c r="K236" s="174">
        <f t="shared" si="30"/>
        <v>494.4</v>
      </c>
      <c r="L236" s="174">
        <f t="shared" si="31"/>
        <v>232.49200000000002</v>
      </c>
      <c r="M236" s="174">
        <f t="shared" si="32"/>
        <v>1788.4</v>
      </c>
      <c r="N236" s="174">
        <f t="shared" si="33"/>
        <v>2324.92</v>
      </c>
    </row>
    <row r="237" spans="1:14" s="187" customFormat="1" ht="12.75">
      <c r="A237" s="186" t="s">
        <v>365</v>
      </c>
      <c r="B237" s="79" t="s">
        <v>567</v>
      </c>
      <c r="C237" s="80" t="s">
        <v>366</v>
      </c>
      <c r="D237" s="66" t="s">
        <v>77</v>
      </c>
      <c r="E237" s="78">
        <v>10</v>
      </c>
      <c r="F237" s="175">
        <v>4</v>
      </c>
      <c r="G237" s="174">
        <v>10</v>
      </c>
      <c r="H237" s="67">
        <v>9.8</v>
      </c>
      <c r="I237" s="67">
        <v>3.5</v>
      </c>
      <c r="J237" s="174">
        <f t="shared" si="28"/>
        <v>98</v>
      </c>
      <c r="K237" s="174">
        <f t="shared" si="30"/>
        <v>39.2</v>
      </c>
      <c r="L237" s="174">
        <f t="shared" si="31"/>
        <v>4.55</v>
      </c>
      <c r="M237" s="174">
        <f t="shared" si="32"/>
        <v>35</v>
      </c>
      <c r="N237" s="174">
        <f t="shared" si="33"/>
        <v>45.5</v>
      </c>
    </row>
    <row r="238" spans="1:14" s="187" customFormat="1" ht="12.75">
      <c r="A238" s="186" t="s">
        <v>367</v>
      </c>
      <c r="B238" s="79" t="s">
        <v>524</v>
      </c>
      <c r="C238" s="80" t="s">
        <v>368</v>
      </c>
      <c r="D238" s="66" t="s">
        <v>77</v>
      </c>
      <c r="E238" s="78">
        <v>6</v>
      </c>
      <c r="F238" s="175"/>
      <c r="G238" s="174">
        <f t="shared" si="29"/>
        <v>6</v>
      </c>
      <c r="H238" s="67">
        <v>22</v>
      </c>
      <c r="I238" s="67">
        <v>50.52</v>
      </c>
      <c r="J238" s="174">
        <f t="shared" si="28"/>
        <v>132</v>
      </c>
      <c r="K238" s="174">
        <f t="shared" si="30"/>
        <v>0</v>
      </c>
      <c r="L238" s="174">
        <f t="shared" si="31"/>
        <v>65.676</v>
      </c>
      <c r="M238" s="174">
        <f t="shared" si="32"/>
        <v>303.12</v>
      </c>
      <c r="N238" s="174">
        <f t="shared" si="33"/>
        <v>394.05600000000004</v>
      </c>
    </row>
    <row r="239" spans="1:15" s="187" customFormat="1" ht="15.75">
      <c r="A239" s="186"/>
      <c r="B239" s="79"/>
      <c r="C239" s="70" t="s">
        <v>369</v>
      </c>
      <c r="D239" s="66"/>
      <c r="E239" s="78"/>
      <c r="F239" s="175"/>
      <c r="G239" s="174"/>
      <c r="H239" s="67"/>
      <c r="I239" s="67"/>
      <c r="J239" s="179">
        <f>SUM(J214:J238)</f>
        <v>6962.4</v>
      </c>
      <c r="K239" s="179">
        <f>SUM(K214:K238)</f>
        <v>2337.7999999999997</v>
      </c>
      <c r="L239" s="179"/>
      <c r="M239" s="179">
        <f>SUM(M214:M238)</f>
        <v>8263.880000000001</v>
      </c>
      <c r="N239" s="179">
        <f>SUM(N214:N238)</f>
        <v>10743.044</v>
      </c>
      <c r="O239" s="180"/>
    </row>
    <row r="240" spans="1:14" s="187" customFormat="1" ht="12.75">
      <c r="A240" s="186"/>
      <c r="B240" s="79"/>
      <c r="C240" s="80"/>
      <c r="D240" s="66"/>
      <c r="E240" s="78"/>
      <c r="F240" s="175"/>
      <c r="G240" s="174"/>
      <c r="H240" s="174"/>
      <c r="I240" s="174"/>
      <c r="J240" s="174"/>
      <c r="K240" s="174"/>
      <c r="L240" s="174"/>
      <c r="M240" s="174"/>
      <c r="N240" s="174"/>
    </row>
    <row r="241" spans="1:14" s="187" customFormat="1" ht="12.75">
      <c r="A241" s="186"/>
      <c r="B241" s="76" t="s">
        <v>370</v>
      </c>
      <c r="C241" s="77" t="s">
        <v>371</v>
      </c>
      <c r="D241" s="66"/>
      <c r="E241" s="78"/>
      <c r="F241" s="175"/>
      <c r="G241" s="174"/>
      <c r="H241" s="174"/>
      <c r="I241" s="174"/>
      <c r="J241" s="174"/>
      <c r="K241" s="174"/>
      <c r="L241" s="174"/>
      <c r="M241" s="174"/>
      <c r="N241" s="174"/>
    </row>
    <row r="242" spans="1:14" s="187" customFormat="1" ht="12.75">
      <c r="A242" s="186"/>
      <c r="B242" s="79" t="s">
        <v>372</v>
      </c>
      <c r="C242" s="80" t="s">
        <v>373</v>
      </c>
      <c r="D242" s="66"/>
      <c r="E242" s="78"/>
      <c r="F242" s="175"/>
      <c r="G242" s="174"/>
      <c r="H242" s="174"/>
      <c r="I242" s="174"/>
      <c r="J242" s="174"/>
      <c r="K242" s="174"/>
      <c r="L242" s="174"/>
      <c r="M242" s="174"/>
      <c r="N242" s="174"/>
    </row>
    <row r="243" spans="1:14" s="187" customFormat="1" ht="12.75">
      <c r="A243" s="186" t="s">
        <v>374</v>
      </c>
      <c r="B243" s="79"/>
      <c r="C243" s="97" t="s">
        <v>375</v>
      </c>
      <c r="D243" s="66" t="s">
        <v>28</v>
      </c>
      <c r="E243" s="78">
        <v>6</v>
      </c>
      <c r="F243" s="175"/>
      <c r="G243" s="174">
        <f t="shared" si="29"/>
        <v>6</v>
      </c>
      <c r="H243" s="67">
        <v>34</v>
      </c>
      <c r="I243" s="67">
        <v>47.65</v>
      </c>
      <c r="J243" s="174">
        <f t="shared" si="28"/>
        <v>204</v>
      </c>
      <c r="K243" s="174">
        <f t="shared" si="30"/>
        <v>0</v>
      </c>
      <c r="L243" s="174">
        <f aca="true" t="shared" si="34" ref="L243:L251">I243*(1+$M$11)</f>
        <v>61.945</v>
      </c>
      <c r="M243" s="174">
        <f aca="true" t="shared" si="35" ref="M243:M251">G243*I243</f>
        <v>285.9</v>
      </c>
      <c r="N243" s="174">
        <f aca="true" t="shared" si="36" ref="N243:N251">G243*L243</f>
        <v>371.67</v>
      </c>
    </row>
    <row r="244" spans="1:14" s="187" customFormat="1" ht="12.75">
      <c r="A244" s="186" t="s">
        <v>376</v>
      </c>
      <c r="B244" s="79"/>
      <c r="C244" s="97" t="s">
        <v>377</v>
      </c>
      <c r="D244" s="66" t="s">
        <v>28</v>
      </c>
      <c r="E244" s="78">
        <v>112</v>
      </c>
      <c r="F244" s="175"/>
      <c r="G244" s="174">
        <f t="shared" si="29"/>
        <v>112</v>
      </c>
      <c r="H244" s="67">
        <v>23</v>
      </c>
      <c r="I244" s="67">
        <v>21.78</v>
      </c>
      <c r="J244" s="174">
        <f t="shared" si="28"/>
        <v>2576</v>
      </c>
      <c r="K244" s="174">
        <f t="shared" si="30"/>
        <v>0</v>
      </c>
      <c r="L244" s="174">
        <f t="shared" si="34"/>
        <v>28.314000000000004</v>
      </c>
      <c r="M244" s="174">
        <f t="shared" si="35"/>
        <v>2439.36</v>
      </c>
      <c r="N244" s="174">
        <f t="shared" si="36"/>
        <v>3171.1680000000006</v>
      </c>
    </row>
    <row r="245" spans="1:14" s="187" customFormat="1" ht="12.75">
      <c r="A245" s="186" t="s">
        <v>378</v>
      </c>
      <c r="B245" s="79"/>
      <c r="C245" s="97" t="s">
        <v>379</v>
      </c>
      <c r="D245" s="66" t="s">
        <v>28</v>
      </c>
      <c r="E245" s="78">
        <v>38</v>
      </c>
      <c r="F245" s="175"/>
      <c r="G245" s="174">
        <f t="shared" si="29"/>
        <v>38</v>
      </c>
      <c r="H245" s="67">
        <v>20</v>
      </c>
      <c r="I245" s="67">
        <v>28.27</v>
      </c>
      <c r="J245" s="174">
        <f t="shared" si="28"/>
        <v>760</v>
      </c>
      <c r="K245" s="174">
        <f t="shared" si="30"/>
        <v>0</v>
      </c>
      <c r="L245" s="174">
        <f t="shared" si="34"/>
        <v>36.751</v>
      </c>
      <c r="M245" s="174">
        <f t="shared" si="35"/>
        <v>1074.26</v>
      </c>
      <c r="N245" s="174">
        <f t="shared" si="36"/>
        <v>1396.538</v>
      </c>
    </row>
    <row r="246" spans="1:14" s="187" customFormat="1" ht="12.75">
      <c r="A246" s="186" t="s">
        <v>380</v>
      </c>
      <c r="B246" s="79"/>
      <c r="C246" s="97" t="s">
        <v>333</v>
      </c>
      <c r="D246" s="66" t="s">
        <v>28</v>
      </c>
      <c r="E246" s="78">
        <v>124</v>
      </c>
      <c r="F246" s="175"/>
      <c r="G246" s="174">
        <f t="shared" si="29"/>
        <v>124</v>
      </c>
      <c r="H246" s="67">
        <v>15.7</v>
      </c>
      <c r="I246" s="67">
        <v>20.78</v>
      </c>
      <c r="J246" s="174">
        <f t="shared" si="28"/>
        <v>1946.8</v>
      </c>
      <c r="K246" s="174">
        <f t="shared" si="30"/>
        <v>0</v>
      </c>
      <c r="L246" s="174">
        <f t="shared" si="34"/>
        <v>27.014000000000003</v>
      </c>
      <c r="M246" s="174">
        <f t="shared" si="35"/>
        <v>2576.7200000000003</v>
      </c>
      <c r="N246" s="174">
        <f t="shared" si="36"/>
        <v>3349.7360000000003</v>
      </c>
    </row>
    <row r="247" spans="1:14" s="187" customFormat="1" ht="12.75">
      <c r="A247" s="186" t="s">
        <v>381</v>
      </c>
      <c r="B247" s="79"/>
      <c r="C247" s="97" t="s">
        <v>382</v>
      </c>
      <c r="D247" s="66" t="s">
        <v>28</v>
      </c>
      <c r="E247" s="78">
        <v>39</v>
      </c>
      <c r="F247" s="175"/>
      <c r="G247" s="174">
        <f t="shared" si="29"/>
        <v>39</v>
      </c>
      <c r="H247" s="67">
        <v>10.4</v>
      </c>
      <c r="I247" s="67">
        <v>15.16</v>
      </c>
      <c r="J247" s="174">
        <f t="shared" si="28"/>
        <v>405.6</v>
      </c>
      <c r="K247" s="174">
        <f t="shared" si="30"/>
        <v>0</v>
      </c>
      <c r="L247" s="174">
        <f t="shared" si="34"/>
        <v>19.708000000000002</v>
      </c>
      <c r="M247" s="174">
        <f t="shared" si="35"/>
        <v>591.24</v>
      </c>
      <c r="N247" s="174">
        <f t="shared" si="36"/>
        <v>768.6120000000001</v>
      </c>
    </row>
    <row r="248" spans="1:14" s="187" customFormat="1" ht="25.5">
      <c r="A248" s="186" t="s">
        <v>383</v>
      </c>
      <c r="B248" s="79" t="s">
        <v>573</v>
      </c>
      <c r="C248" s="65" t="s">
        <v>384</v>
      </c>
      <c r="D248" s="66" t="s">
        <v>77</v>
      </c>
      <c r="E248" s="78">
        <v>1</v>
      </c>
      <c r="F248" s="175"/>
      <c r="G248" s="174">
        <f t="shared" si="29"/>
        <v>1</v>
      </c>
      <c r="H248" s="67">
        <v>32</v>
      </c>
      <c r="I248" s="67">
        <v>13.27</v>
      </c>
      <c r="J248" s="174">
        <f t="shared" si="28"/>
        <v>32</v>
      </c>
      <c r="K248" s="174">
        <f t="shared" si="30"/>
        <v>0</v>
      </c>
      <c r="L248" s="174">
        <f t="shared" si="34"/>
        <v>17.251</v>
      </c>
      <c r="M248" s="174">
        <f t="shared" si="35"/>
        <v>13.27</v>
      </c>
      <c r="N248" s="174">
        <f t="shared" si="36"/>
        <v>17.251</v>
      </c>
    </row>
    <row r="249" spans="1:14" s="187" customFormat="1" ht="38.25">
      <c r="A249" s="186" t="s">
        <v>385</v>
      </c>
      <c r="B249" s="79" t="s">
        <v>506</v>
      </c>
      <c r="C249" s="65" t="s">
        <v>386</v>
      </c>
      <c r="D249" s="66" t="s">
        <v>77</v>
      </c>
      <c r="E249" s="78">
        <v>23</v>
      </c>
      <c r="F249" s="175"/>
      <c r="G249" s="174">
        <f t="shared" si="29"/>
        <v>23</v>
      </c>
      <c r="H249" s="67">
        <v>44</v>
      </c>
      <c r="I249" s="67">
        <v>26.66</v>
      </c>
      <c r="J249" s="174">
        <f t="shared" si="28"/>
        <v>1012</v>
      </c>
      <c r="K249" s="174">
        <f t="shared" si="30"/>
        <v>0</v>
      </c>
      <c r="L249" s="174">
        <f t="shared" si="34"/>
        <v>34.658</v>
      </c>
      <c r="M249" s="174">
        <f t="shared" si="35"/>
        <v>613.18</v>
      </c>
      <c r="N249" s="174">
        <f t="shared" si="36"/>
        <v>797.134</v>
      </c>
    </row>
    <row r="250" spans="1:14" s="187" customFormat="1" ht="38.25">
      <c r="A250" s="186" t="s">
        <v>387</v>
      </c>
      <c r="B250" s="79" t="s">
        <v>525</v>
      </c>
      <c r="C250" s="65" t="s">
        <v>388</v>
      </c>
      <c r="D250" s="66" t="s">
        <v>77</v>
      </c>
      <c r="E250" s="78">
        <v>5</v>
      </c>
      <c r="F250" s="175"/>
      <c r="G250" s="174">
        <f t="shared" si="29"/>
        <v>5</v>
      </c>
      <c r="H250" s="67">
        <v>56</v>
      </c>
      <c r="I250" s="67">
        <v>59.35</v>
      </c>
      <c r="J250" s="174">
        <f t="shared" si="28"/>
        <v>280</v>
      </c>
      <c r="K250" s="174">
        <f t="shared" si="30"/>
        <v>0</v>
      </c>
      <c r="L250" s="174">
        <f t="shared" si="34"/>
        <v>77.155</v>
      </c>
      <c r="M250" s="174">
        <f t="shared" si="35"/>
        <v>296.75</v>
      </c>
      <c r="N250" s="174">
        <f t="shared" si="36"/>
        <v>385.775</v>
      </c>
    </row>
    <row r="251" spans="1:15" s="187" customFormat="1" ht="66" customHeight="1">
      <c r="A251" s="186" t="s">
        <v>389</v>
      </c>
      <c r="B251" s="79" t="s">
        <v>501</v>
      </c>
      <c r="C251" s="65" t="s">
        <v>390</v>
      </c>
      <c r="D251" s="66" t="s">
        <v>77</v>
      </c>
      <c r="E251" s="78">
        <v>12</v>
      </c>
      <c r="F251" s="175"/>
      <c r="G251" s="174">
        <f t="shared" si="29"/>
        <v>12</v>
      </c>
      <c r="H251" s="67">
        <v>61</v>
      </c>
      <c r="I251" s="67">
        <v>99.5</v>
      </c>
      <c r="J251" s="174">
        <f t="shared" si="28"/>
        <v>732</v>
      </c>
      <c r="K251" s="174">
        <f t="shared" si="30"/>
        <v>0</v>
      </c>
      <c r="L251" s="174">
        <f t="shared" si="34"/>
        <v>129.35</v>
      </c>
      <c r="M251" s="174">
        <f t="shared" si="35"/>
        <v>1194</v>
      </c>
      <c r="N251" s="174">
        <f t="shared" si="36"/>
        <v>1552.1999999999998</v>
      </c>
      <c r="O251" s="188"/>
    </row>
    <row r="252" spans="1:15" s="187" customFormat="1" ht="15.75">
      <c r="A252" s="186"/>
      <c r="B252" s="79"/>
      <c r="C252" s="70" t="s">
        <v>391</v>
      </c>
      <c r="D252" s="66"/>
      <c r="E252" s="78"/>
      <c r="F252" s="175"/>
      <c r="G252" s="174"/>
      <c r="H252" s="174"/>
      <c r="I252" s="174"/>
      <c r="J252" s="179">
        <f>SUM(J243:J251)</f>
        <v>7948.400000000001</v>
      </c>
      <c r="K252" s="179">
        <f>SUM(K243:K251)</f>
        <v>0</v>
      </c>
      <c r="L252" s="174"/>
      <c r="M252" s="179">
        <f>SUM(M243:M251)</f>
        <v>9084.68</v>
      </c>
      <c r="N252" s="179">
        <f>SUM(N243:N251)</f>
        <v>11810.084000000003</v>
      </c>
      <c r="O252" s="180"/>
    </row>
    <row r="253" spans="1:14" s="187" customFormat="1" ht="15.75">
      <c r="A253" s="186"/>
      <c r="B253" s="79"/>
      <c r="C253" s="70"/>
      <c r="D253" s="66"/>
      <c r="E253" s="78"/>
      <c r="F253" s="175"/>
      <c r="G253" s="174"/>
      <c r="H253" s="174"/>
      <c r="I253" s="174"/>
      <c r="J253" s="174"/>
      <c r="K253" s="174"/>
      <c r="L253" s="174"/>
      <c r="M253" s="174"/>
      <c r="N253" s="174"/>
    </row>
    <row r="254" spans="1:14" s="187" customFormat="1" ht="12.75">
      <c r="A254" s="186"/>
      <c r="B254" s="76" t="s">
        <v>392</v>
      </c>
      <c r="C254" s="77" t="s">
        <v>393</v>
      </c>
      <c r="D254" s="66"/>
      <c r="E254" s="78"/>
      <c r="F254" s="175"/>
      <c r="G254" s="174"/>
      <c r="H254" s="174"/>
      <c r="I254" s="174"/>
      <c r="J254" s="174"/>
      <c r="K254" s="174"/>
      <c r="L254" s="174"/>
      <c r="M254" s="174"/>
      <c r="N254" s="174"/>
    </row>
    <row r="255" spans="1:14" s="187" customFormat="1" ht="25.5">
      <c r="A255" s="186" t="s">
        <v>404</v>
      </c>
      <c r="B255" s="79" t="s">
        <v>486</v>
      </c>
      <c r="C255" s="98" t="s">
        <v>394</v>
      </c>
      <c r="D255" s="66" t="s">
        <v>77</v>
      </c>
      <c r="E255" s="78">
        <v>23</v>
      </c>
      <c r="F255" s="175"/>
      <c r="G255" s="174">
        <f t="shared" si="29"/>
        <v>23</v>
      </c>
      <c r="H255" s="67">
        <v>102</v>
      </c>
      <c r="I255" s="67">
        <v>152.58</v>
      </c>
      <c r="J255" s="174">
        <f t="shared" si="28"/>
        <v>2346</v>
      </c>
      <c r="K255" s="174">
        <f t="shared" si="30"/>
        <v>0</v>
      </c>
      <c r="L255" s="174">
        <f aca="true" t="shared" si="37" ref="L255:L271">I255*(1+$M$11)</f>
        <v>198.354</v>
      </c>
      <c r="M255" s="174">
        <f aca="true" t="shared" si="38" ref="M255:M271">G255*I255</f>
        <v>3509.34</v>
      </c>
      <c r="N255" s="174">
        <f aca="true" t="shared" si="39" ref="N255:N271">G255*L255</f>
        <v>4562.142000000001</v>
      </c>
    </row>
    <row r="256" spans="1:14" s="187" customFormat="1" ht="12.75">
      <c r="A256" s="186" t="s">
        <v>405</v>
      </c>
      <c r="B256" s="79" t="s">
        <v>499</v>
      </c>
      <c r="C256" s="99" t="s">
        <v>396</v>
      </c>
      <c r="D256" s="66" t="s">
        <v>180</v>
      </c>
      <c r="E256" s="78">
        <v>15</v>
      </c>
      <c r="F256" s="175"/>
      <c r="G256" s="174">
        <f t="shared" si="29"/>
        <v>15</v>
      </c>
      <c r="H256" s="67">
        <v>39</v>
      </c>
      <c r="I256" s="67">
        <v>52.75</v>
      </c>
      <c r="J256" s="174">
        <f t="shared" si="28"/>
        <v>585</v>
      </c>
      <c r="K256" s="174">
        <f t="shared" si="30"/>
        <v>0</v>
      </c>
      <c r="L256" s="174">
        <f t="shared" si="37"/>
        <v>68.575</v>
      </c>
      <c r="M256" s="174">
        <f t="shared" si="38"/>
        <v>791.25</v>
      </c>
      <c r="N256" s="174">
        <f t="shared" si="39"/>
        <v>1028.625</v>
      </c>
    </row>
    <row r="257" spans="1:14" s="187" customFormat="1" ht="25.5">
      <c r="A257" s="186" t="s">
        <v>397</v>
      </c>
      <c r="B257" s="79" t="s">
        <v>503</v>
      </c>
      <c r="C257" s="98" t="s">
        <v>504</v>
      </c>
      <c r="D257" s="66" t="s">
        <v>193</v>
      </c>
      <c r="E257" s="78">
        <v>8</v>
      </c>
      <c r="F257" s="175"/>
      <c r="G257" s="174">
        <f t="shared" si="29"/>
        <v>8</v>
      </c>
      <c r="H257" s="67">
        <v>78</v>
      </c>
      <c r="I257" s="67">
        <v>87</v>
      </c>
      <c r="J257" s="174">
        <f t="shared" si="28"/>
        <v>624</v>
      </c>
      <c r="K257" s="174">
        <f t="shared" si="30"/>
        <v>0</v>
      </c>
      <c r="L257" s="174">
        <f t="shared" si="37"/>
        <v>113.10000000000001</v>
      </c>
      <c r="M257" s="174">
        <f t="shared" si="38"/>
        <v>696</v>
      </c>
      <c r="N257" s="174">
        <f t="shared" si="39"/>
        <v>904.8000000000001</v>
      </c>
    </row>
    <row r="258" spans="1:14" s="187" customFormat="1" ht="25.5">
      <c r="A258" s="186" t="s">
        <v>398</v>
      </c>
      <c r="B258" s="79" t="s">
        <v>536</v>
      </c>
      <c r="C258" s="98" t="s">
        <v>399</v>
      </c>
      <c r="D258" s="66" t="s">
        <v>193</v>
      </c>
      <c r="E258" s="78">
        <v>2</v>
      </c>
      <c r="F258" s="175"/>
      <c r="G258" s="174">
        <f t="shared" si="29"/>
        <v>2</v>
      </c>
      <c r="H258" s="67">
        <v>123</v>
      </c>
      <c r="I258" s="67">
        <v>103.76</v>
      </c>
      <c r="J258" s="174">
        <f t="shared" si="28"/>
        <v>246</v>
      </c>
      <c r="K258" s="174">
        <f t="shared" si="30"/>
        <v>0</v>
      </c>
      <c r="L258" s="174">
        <f t="shared" si="37"/>
        <v>134.888</v>
      </c>
      <c r="M258" s="174">
        <f t="shared" si="38"/>
        <v>207.52</v>
      </c>
      <c r="N258" s="174">
        <f t="shared" si="39"/>
        <v>269.776</v>
      </c>
    </row>
    <row r="259" spans="1:14" s="187" customFormat="1" ht="12.75">
      <c r="A259" s="186" t="s">
        <v>400</v>
      </c>
      <c r="B259" s="79" t="s">
        <v>543</v>
      </c>
      <c r="C259" s="99" t="s">
        <v>401</v>
      </c>
      <c r="D259" s="66" t="s">
        <v>77</v>
      </c>
      <c r="E259" s="78">
        <v>8</v>
      </c>
      <c r="F259" s="175"/>
      <c r="G259" s="174">
        <f t="shared" si="29"/>
        <v>8</v>
      </c>
      <c r="H259" s="67">
        <v>10</v>
      </c>
      <c r="I259" s="67">
        <v>18</v>
      </c>
      <c r="J259" s="174">
        <f aca="true" t="shared" si="40" ref="J259:J301">E259*H259</f>
        <v>80</v>
      </c>
      <c r="K259" s="174">
        <f t="shared" si="30"/>
        <v>0</v>
      </c>
      <c r="L259" s="174">
        <f t="shared" si="37"/>
        <v>23.400000000000002</v>
      </c>
      <c r="M259" s="174">
        <f t="shared" si="38"/>
        <v>144</v>
      </c>
      <c r="N259" s="174">
        <f t="shared" si="39"/>
        <v>187.20000000000002</v>
      </c>
    </row>
    <row r="260" spans="1:14" s="187" customFormat="1" ht="12.75">
      <c r="A260" s="186" t="s">
        <v>402</v>
      </c>
      <c r="B260" s="79" t="s">
        <v>565</v>
      </c>
      <c r="C260" s="99" t="s">
        <v>403</v>
      </c>
      <c r="D260" s="66" t="s">
        <v>77</v>
      </c>
      <c r="E260" s="78">
        <v>2</v>
      </c>
      <c r="F260" s="175"/>
      <c r="G260" s="174">
        <f t="shared" si="29"/>
        <v>2</v>
      </c>
      <c r="H260" s="67">
        <v>13</v>
      </c>
      <c r="I260" s="67">
        <v>19.61</v>
      </c>
      <c r="J260" s="174">
        <f t="shared" si="40"/>
        <v>26</v>
      </c>
      <c r="K260" s="174">
        <f t="shared" si="30"/>
        <v>0</v>
      </c>
      <c r="L260" s="174">
        <f t="shared" si="37"/>
        <v>25.493</v>
      </c>
      <c r="M260" s="174">
        <f t="shared" si="38"/>
        <v>39.22</v>
      </c>
      <c r="N260" s="174">
        <f t="shared" si="39"/>
        <v>50.986</v>
      </c>
    </row>
    <row r="261" spans="1:14" s="187" customFormat="1" ht="12.75">
      <c r="A261" s="186" t="s">
        <v>407</v>
      </c>
      <c r="B261" s="79" t="s">
        <v>512</v>
      </c>
      <c r="C261" s="99" t="s">
        <v>408</v>
      </c>
      <c r="D261" s="66" t="s">
        <v>193</v>
      </c>
      <c r="E261" s="78">
        <v>2</v>
      </c>
      <c r="F261" s="175"/>
      <c r="G261" s="174">
        <f t="shared" si="29"/>
        <v>2</v>
      </c>
      <c r="H261" s="67">
        <v>125.8</v>
      </c>
      <c r="I261" s="67">
        <v>229.89</v>
      </c>
      <c r="J261" s="174">
        <f t="shared" si="40"/>
        <v>251.6</v>
      </c>
      <c r="K261" s="174">
        <f t="shared" si="30"/>
        <v>0</v>
      </c>
      <c r="L261" s="174">
        <f t="shared" si="37"/>
        <v>298.85699999999997</v>
      </c>
      <c r="M261" s="174">
        <f t="shared" si="38"/>
        <v>459.78</v>
      </c>
      <c r="N261" s="174">
        <f t="shared" si="39"/>
        <v>597.7139999999999</v>
      </c>
    </row>
    <row r="262" spans="1:14" s="187" customFormat="1" ht="25.5">
      <c r="A262" s="186" t="s">
        <v>409</v>
      </c>
      <c r="B262" s="79" t="s">
        <v>495</v>
      </c>
      <c r="C262" s="98" t="s">
        <v>410</v>
      </c>
      <c r="D262" s="66" t="s">
        <v>193</v>
      </c>
      <c r="E262" s="78">
        <v>9</v>
      </c>
      <c r="F262" s="175"/>
      <c r="G262" s="174">
        <f t="shared" si="29"/>
        <v>9</v>
      </c>
      <c r="H262" s="67">
        <v>109</v>
      </c>
      <c r="I262" s="67">
        <v>164.12</v>
      </c>
      <c r="J262" s="174">
        <f t="shared" si="40"/>
        <v>981</v>
      </c>
      <c r="K262" s="174">
        <f t="shared" si="30"/>
        <v>0</v>
      </c>
      <c r="L262" s="174">
        <f t="shared" si="37"/>
        <v>213.35600000000002</v>
      </c>
      <c r="M262" s="174">
        <f t="shared" si="38"/>
        <v>1477.08</v>
      </c>
      <c r="N262" s="174">
        <f t="shared" si="39"/>
        <v>1920.2040000000002</v>
      </c>
    </row>
    <row r="263" spans="1:14" s="187" customFormat="1" ht="12.75">
      <c r="A263" s="186" t="s">
        <v>395</v>
      </c>
      <c r="B263" s="79" t="s">
        <v>556</v>
      </c>
      <c r="C263" s="99" t="s">
        <v>411</v>
      </c>
      <c r="D263" s="66" t="s">
        <v>180</v>
      </c>
      <c r="E263" s="78">
        <v>1</v>
      </c>
      <c r="F263" s="175"/>
      <c r="G263" s="174">
        <f t="shared" si="29"/>
        <v>1</v>
      </c>
      <c r="H263" s="67">
        <v>55</v>
      </c>
      <c r="I263" s="67">
        <v>82.88</v>
      </c>
      <c r="J263" s="174">
        <f t="shared" si="40"/>
        <v>55</v>
      </c>
      <c r="K263" s="174">
        <f t="shared" si="30"/>
        <v>0</v>
      </c>
      <c r="L263" s="174">
        <f t="shared" si="37"/>
        <v>107.744</v>
      </c>
      <c r="M263" s="174">
        <f t="shared" si="38"/>
        <v>82.88</v>
      </c>
      <c r="N263" s="174">
        <f t="shared" si="39"/>
        <v>107.744</v>
      </c>
    </row>
    <row r="264" spans="1:14" s="187" customFormat="1" ht="38.25">
      <c r="A264" s="186" t="s">
        <v>466</v>
      </c>
      <c r="B264" s="79" t="s">
        <v>479</v>
      </c>
      <c r="C264" s="98" t="s">
        <v>480</v>
      </c>
      <c r="D264" s="66" t="s">
        <v>180</v>
      </c>
      <c r="E264" s="78">
        <v>16</v>
      </c>
      <c r="F264" s="175"/>
      <c r="G264" s="174">
        <f t="shared" si="29"/>
        <v>16</v>
      </c>
      <c r="H264" s="67">
        <v>170</v>
      </c>
      <c r="I264" s="67">
        <v>242.48</v>
      </c>
      <c r="J264" s="174">
        <f t="shared" si="40"/>
        <v>2720</v>
      </c>
      <c r="K264" s="174">
        <f t="shared" si="30"/>
        <v>0</v>
      </c>
      <c r="L264" s="174">
        <f t="shared" si="37"/>
        <v>315.224</v>
      </c>
      <c r="M264" s="174">
        <f t="shared" si="38"/>
        <v>3879.68</v>
      </c>
      <c r="N264" s="174">
        <f t="shared" si="39"/>
        <v>5043.584</v>
      </c>
    </row>
    <row r="265" spans="1:14" s="187" customFormat="1" ht="25.5">
      <c r="A265" s="186" t="s">
        <v>412</v>
      </c>
      <c r="B265" s="79" t="s">
        <v>533</v>
      </c>
      <c r="C265" s="98" t="s">
        <v>413</v>
      </c>
      <c r="D265" s="66" t="s">
        <v>193</v>
      </c>
      <c r="E265" s="78">
        <v>2</v>
      </c>
      <c r="F265" s="175"/>
      <c r="G265" s="174">
        <f t="shared" si="29"/>
        <v>2</v>
      </c>
      <c r="H265" s="67">
        <v>76</v>
      </c>
      <c r="I265" s="67">
        <v>118.45</v>
      </c>
      <c r="J265" s="174">
        <f t="shared" si="40"/>
        <v>152</v>
      </c>
      <c r="K265" s="174">
        <f t="shared" si="30"/>
        <v>0</v>
      </c>
      <c r="L265" s="174">
        <f t="shared" si="37"/>
        <v>153.985</v>
      </c>
      <c r="M265" s="174">
        <f t="shared" si="38"/>
        <v>236.9</v>
      </c>
      <c r="N265" s="174">
        <f t="shared" si="39"/>
        <v>307.97</v>
      </c>
    </row>
    <row r="266" spans="1:14" s="187" customFormat="1" ht="12.75">
      <c r="A266" s="186" t="s">
        <v>414</v>
      </c>
      <c r="B266" s="79" t="s">
        <v>547</v>
      </c>
      <c r="C266" s="65" t="s">
        <v>415</v>
      </c>
      <c r="D266" s="66" t="s">
        <v>193</v>
      </c>
      <c r="E266" s="78">
        <v>4</v>
      </c>
      <c r="F266" s="175"/>
      <c r="G266" s="174">
        <f t="shared" si="29"/>
        <v>4</v>
      </c>
      <c r="H266" s="67">
        <v>23</v>
      </c>
      <c r="I266" s="67">
        <v>31</v>
      </c>
      <c r="J266" s="174">
        <f t="shared" si="40"/>
        <v>92</v>
      </c>
      <c r="K266" s="174">
        <f t="shared" si="30"/>
        <v>0</v>
      </c>
      <c r="L266" s="174">
        <f t="shared" si="37"/>
        <v>40.300000000000004</v>
      </c>
      <c r="M266" s="174">
        <f t="shared" si="38"/>
        <v>124</v>
      </c>
      <c r="N266" s="174">
        <f t="shared" si="39"/>
        <v>161.20000000000002</v>
      </c>
    </row>
    <row r="267" spans="1:14" s="187" customFormat="1" ht="25.5">
      <c r="A267" s="186" t="s">
        <v>488</v>
      </c>
      <c r="B267" s="79" t="s">
        <v>487</v>
      </c>
      <c r="C267" s="65" t="s">
        <v>489</v>
      </c>
      <c r="D267" s="66" t="s">
        <v>193</v>
      </c>
      <c r="E267" s="78">
        <v>6</v>
      </c>
      <c r="F267" s="175">
        <v>3</v>
      </c>
      <c r="G267" s="174">
        <v>6</v>
      </c>
      <c r="H267" s="67">
        <v>287</v>
      </c>
      <c r="I267" s="67">
        <f>280.02+149.5</f>
        <v>429.52</v>
      </c>
      <c r="J267" s="174">
        <f t="shared" si="40"/>
        <v>1722</v>
      </c>
      <c r="K267" s="174">
        <f t="shared" si="30"/>
        <v>861</v>
      </c>
      <c r="L267" s="174">
        <f t="shared" si="37"/>
        <v>558.376</v>
      </c>
      <c r="M267" s="174">
        <f t="shared" si="38"/>
        <v>2577.12</v>
      </c>
      <c r="N267" s="174">
        <f t="shared" si="39"/>
        <v>3350.256</v>
      </c>
    </row>
    <row r="268" spans="1:14" s="187" customFormat="1" ht="12.75">
      <c r="A268" s="186" t="s">
        <v>416</v>
      </c>
      <c r="B268" s="79" t="s">
        <v>559</v>
      </c>
      <c r="C268" s="64" t="s">
        <v>417</v>
      </c>
      <c r="D268" s="74" t="s">
        <v>77</v>
      </c>
      <c r="E268" s="67">
        <v>4</v>
      </c>
      <c r="F268" s="175"/>
      <c r="G268" s="174">
        <f t="shared" si="29"/>
        <v>4</v>
      </c>
      <c r="H268" s="67">
        <v>10.5</v>
      </c>
      <c r="I268" s="67">
        <v>15.15</v>
      </c>
      <c r="J268" s="174">
        <f t="shared" si="40"/>
        <v>42</v>
      </c>
      <c r="K268" s="174">
        <f t="shared" si="30"/>
        <v>0</v>
      </c>
      <c r="L268" s="174">
        <f t="shared" si="37"/>
        <v>19.695</v>
      </c>
      <c r="M268" s="174">
        <f t="shared" si="38"/>
        <v>60.6</v>
      </c>
      <c r="N268" s="174">
        <f t="shared" si="39"/>
        <v>78.78</v>
      </c>
    </row>
    <row r="269" spans="1:14" s="187" customFormat="1" ht="12.75">
      <c r="A269" s="186" t="s">
        <v>418</v>
      </c>
      <c r="B269" s="79" t="s">
        <v>541</v>
      </c>
      <c r="C269" s="64" t="s">
        <v>419</v>
      </c>
      <c r="D269" s="74" t="s">
        <v>77</v>
      </c>
      <c r="E269" s="67">
        <v>8</v>
      </c>
      <c r="F269" s="175"/>
      <c r="G269" s="174">
        <f t="shared" si="29"/>
        <v>8</v>
      </c>
      <c r="H269" s="67">
        <v>13.4</v>
      </c>
      <c r="I269" s="67">
        <v>23.44</v>
      </c>
      <c r="J269" s="174">
        <f t="shared" si="40"/>
        <v>107.2</v>
      </c>
      <c r="K269" s="174">
        <f t="shared" si="30"/>
        <v>0</v>
      </c>
      <c r="L269" s="174">
        <f t="shared" si="37"/>
        <v>30.472</v>
      </c>
      <c r="M269" s="174">
        <f t="shared" si="38"/>
        <v>187.52</v>
      </c>
      <c r="N269" s="174">
        <f t="shared" si="39"/>
        <v>243.776</v>
      </c>
    </row>
    <row r="270" spans="1:14" s="187" customFormat="1" ht="12.75">
      <c r="A270" s="186" t="s">
        <v>420</v>
      </c>
      <c r="B270" s="79" t="s">
        <v>521</v>
      </c>
      <c r="C270" s="64" t="s">
        <v>421</v>
      </c>
      <c r="D270" s="74" t="s">
        <v>77</v>
      </c>
      <c r="E270" s="67">
        <v>16</v>
      </c>
      <c r="F270" s="175"/>
      <c r="G270" s="174">
        <f t="shared" si="29"/>
        <v>16</v>
      </c>
      <c r="H270" s="67">
        <v>45</v>
      </c>
      <c r="I270" s="67">
        <v>21.34</v>
      </c>
      <c r="J270" s="174">
        <f t="shared" si="40"/>
        <v>720</v>
      </c>
      <c r="K270" s="174">
        <f t="shared" si="30"/>
        <v>0</v>
      </c>
      <c r="L270" s="174">
        <f t="shared" si="37"/>
        <v>27.742</v>
      </c>
      <c r="M270" s="174">
        <f t="shared" si="38"/>
        <v>341.44</v>
      </c>
      <c r="N270" s="174">
        <f t="shared" si="39"/>
        <v>443.872</v>
      </c>
    </row>
    <row r="271" spans="1:14" s="187" customFormat="1" ht="12.75">
      <c r="A271" s="186" t="s">
        <v>422</v>
      </c>
      <c r="B271" s="79" t="s">
        <v>530</v>
      </c>
      <c r="C271" s="64" t="s">
        <v>423</v>
      </c>
      <c r="D271" s="74" t="s">
        <v>77</v>
      </c>
      <c r="E271" s="67">
        <v>16</v>
      </c>
      <c r="F271" s="175"/>
      <c r="G271" s="174">
        <f t="shared" si="29"/>
        <v>16</v>
      </c>
      <c r="H271" s="67">
        <v>13</v>
      </c>
      <c r="I271" s="67">
        <v>17</v>
      </c>
      <c r="J271" s="174">
        <f t="shared" si="40"/>
        <v>208</v>
      </c>
      <c r="K271" s="174">
        <f t="shared" si="30"/>
        <v>0</v>
      </c>
      <c r="L271" s="174">
        <f t="shared" si="37"/>
        <v>22.1</v>
      </c>
      <c r="M271" s="174">
        <f t="shared" si="38"/>
        <v>272</v>
      </c>
      <c r="N271" s="174">
        <f t="shared" si="39"/>
        <v>353.6</v>
      </c>
    </row>
    <row r="272" spans="1:15" s="187" customFormat="1" ht="15.75">
      <c r="A272" s="186"/>
      <c r="B272" s="79"/>
      <c r="C272" s="81" t="s">
        <v>424</v>
      </c>
      <c r="D272" s="74"/>
      <c r="E272" s="67"/>
      <c r="F272" s="175"/>
      <c r="G272" s="174"/>
      <c r="H272" s="67"/>
      <c r="I272" s="67"/>
      <c r="J272" s="179">
        <f>SUM(J255:J271)</f>
        <v>10957.800000000001</v>
      </c>
      <c r="K272" s="179">
        <f>SUM(K255:K271)</f>
        <v>861</v>
      </c>
      <c r="L272" s="179"/>
      <c r="M272" s="179">
        <f>SUM(M255:M271)</f>
        <v>15086.330000000002</v>
      </c>
      <c r="N272" s="179">
        <f>SUM(N255:N271)</f>
        <v>19612.229</v>
      </c>
      <c r="O272" s="180"/>
    </row>
    <row r="273" spans="1:16" s="192" customFormat="1" ht="15.75">
      <c r="A273" s="191"/>
      <c r="B273" s="82"/>
      <c r="C273" s="81" t="s">
        <v>425</v>
      </c>
      <c r="D273" s="83"/>
      <c r="E273" s="72"/>
      <c r="F273" s="25"/>
      <c r="G273" s="179"/>
      <c r="H273" s="179"/>
      <c r="I273" s="179"/>
      <c r="J273" s="179">
        <f>J272+J252+J239</f>
        <v>25868.6</v>
      </c>
      <c r="K273" s="179">
        <f>K272+K252+K239</f>
        <v>3198.7999999999997</v>
      </c>
      <c r="L273" s="179"/>
      <c r="M273" s="179">
        <f>M272+M252+M239</f>
        <v>32434.890000000003</v>
      </c>
      <c r="N273" s="179">
        <f>N272+N252+N239</f>
        <v>42165.357</v>
      </c>
      <c r="O273" s="180"/>
      <c r="P273" s="193"/>
    </row>
    <row r="274" spans="1:14" s="187" customFormat="1" ht="12.75">
      <c r="A274" s="186"/>
      <c r="B274" s="61"/>
      <c r="C274" s="73"/>
      <c r="D274" s="74"/>
      <c r="E274" s="75"/>
      <c r="F274" s="175"/>
      <c r="G274" s="174"/>
      <c r="H274" s="174"/>
      <c r="I274" s="174"/>
      <c r="J274" s="174"/>
      <c r="K274" s="174"/>
      <c r="L274" s="174"/>
      <c r="M274" s="174"/>
      <c r="N274" s="174"/>
    </row>
    <row r="275" spans="1:14" s="187" customFormat="1" ht="12.75">
      <c r="A275" s="186"/>
      <c r="B275" s="84">
        <v>13</v>
      </c>
      <c r="C275" s="85" t="s">
        <v>426</v>
      </c>
      <c r="D275" s="74"/>
      <c r="E275" s="75"/>
      <c r="F275" s="175"/>
      <c r="G275" s="174"/>
      <c r="H275" s="174"/>
      <c r="I275" s="174"/>
      <c r="J275" s="174"/>
      <c r="K275" s="174"/>
      <c r="L275" s="174"/>
      <c r="M275" s="174"/>
      <c r="N275" s="174"/>
    </row>
    <row r="276" spans="1:14" s="187" customFormat="1" ht="12.75">
      <c r="A276" s="186" t="s">
        <v>483</v>
      </c>
      <c r="B276" s="92" t="s">
        <v>513</v>
      </c>
      <c r="C276" s="100" t="s">
        <v>514</v>
      </c>
      <c r="D276" s="74" t="s">
        <v>77</v>
      </c>
      <c r="E276" s="75">
        <v>3</v>
      </c>
      <c r="F276" s="175"/>
      <c r="G276" s="174">
        <f t="shared" si="29"/>
        <v>3</v>
      </c>
      <c r="H276" s="67">
        <v>113</v>
      </c>
      <c r="I276" s="67">
        <v>146.83</v>
      </c>
      <c r="J276" s="174">
        <f t="shared" si="40"/>
        <v>339</v>
      </c>
      <c r="K276" s="174">
        <f t="shared" si="30"/>
        <v>0</v>
      </c>
      <c r="L276" s="174">
        <f aca="true" t="shared" si="41" ref="L276:L283">I276*(1+$M$11)</f>
        <v>190.87900000000002</v>
      </c>
      <c r="M276" s="174">
        <f aca="true" t="shared" si="42" ref="M276:M283">G276*I276</f>
        <v>440.49</v>
      </c>
      <c r="N276" s="174">
        <f aca="true" t="shared" si="43" ref="N276:N283">G276*L276</f>
        <v>572.6370000000001</v>
      </c>
    </row>
    <row r="277" spans="1:14" s="187" customFormat="1" ht="12.75">
      <c r="A277" s="186" t="s">
        <v>483</v>
      </c>
      <c r="B277" s="92" t="s">
        <v>549</v>
      </c>
      <c r="C277" s="100" t="s">
        <v>550</v>
      </c>
      <c r="D277" s="74" t="s">
        <v>77</v>
      </c>
      <c r="E277" s="75">
        <v>1</v>
      </c>
      <c r="F277" s="175"/>
      <c r="G277" s="174">
        <f t="shared" si="29"/>
        <v>1</v>
      </c>
      <c r="H277" s="67">
        <v>123.8</v>
      </c>
      <c r="I277" s="67">
        <v>117.21</v>
      </c>
      <c r="J277" s="174">
        <f t="shared" si="40"/>
        <v>123.8</v>
      </c>
      <c r="K277" s="174">
        <f t="shared" si="30"/>
        <v>0</v>
      </c>
      <c r="L277" s="174">
        <f t="shared" si="41"/>
        <v>152.373</v>
      </c>
      <c r="M277" s="174">
        <f t="shared" si="42"/>
        <v>117.21</v>
      </c>
      <c r="N277" s="174">
        <f t="shared" si="43"/>
        <v>152.373</v>
      </c>
    </row>
    <row r="278" spans="1:14" s="187" customFormat="1" ht="12.75">
      <c r="A278" s="186" t="s">
        <v>483</v>
      </c>
      <c r="B278" s="92" t="s">
        <v>571</v>
      </c>
      <c r="C278" s="100" t="s">
        <v>427</v>
      </c>
      <c r="D278" s="74" t="s">
        <v>77</v>
      </c>
      <c r="E278" s="75">
        <v>4</v>
      </c>
      <c r="F278" s="175"/>
      <c r="G278" s="174">
        <f aca="true" t="shared" si="44" ref="G278:G301">E278-F278</f>
        <v>4</v>
      </c>
      <c r="H278" s="67">
        <v>11</v>
      </c>
      <c r="I278" s="67">
        <v>5.29</v>
      </c>
      <c r="J278" s="174">
        <f t="shared" si="40"/>
        <v>44</v>
      </c>
      <c r="K278" s="174">
        <f t="shared" si="30"/>
        <v>0</v>
      </c>
      <c r="L278" s="174">
        <f t="shared" si="41"/>
        <v>6.877000000000001</v>
      </c>
      <c r="M278" s="174">
        <f t="shared" si="42"/>
        <v>21.16</v>
      </c>
      <c r="N278" s="174">
        <f t="shared" si="43"/>
        <v>27.508000000000003</v>
      </c>
    </row>
    <row r="279" spans="1:14" s="187" customFormat="1" ht="12.75">
      <c r="A279" s="186" t="s">
        <v>483</v>
      </c>
      <c r="B279" s="92" t="s">
        <v>545</v>
      </c>
      <c r="C279" s="100" t="s">
        <v>546</v>
      </c>
      <c r="D279" s="74" t="s">
        <v>77</v>
      </c>
      <c r="E279" s="75">
        <v>5</v>
      </c>
      <c r="F279" s="175"/>
      <c r="G279" s="174">
        <f t="shared" si="44"/>
        <v>5</v>
      </c>
      <c r="H279" s="67">
        <v>42</v>
      </c>
      <c r="I279" s="174">
        <v>26.86</v>
      </c>
      <c r="J279" s="174">
        <f t="shared" si="40"/>
        <v>210</v>
      </c>
      <c r="K279" s="174">
        <f t="shared" si="30"/>
        <v>0</v>
      </c>
      <c r="L279" s="174">
        <f t="shared" si="41"/>
        <v>34.918</v>
      </c>
      <c r="M279" s="174">
        <f t="shared" si="42"/>
        <v>134.3</v>
      </c>
      <c r="N279" s="174">
        <f t="shared" si="43"/>
        <v>174.59</v>
      </c>
    </row>
    <row r="280" spans="1:14" s="187" customFormat="1" ht="12.75">
      <c r="A280" s="186" t="s">
        <v>483</v>
      </c>
      <c r="B280" s="92" t="s">
        <v>526</v>
      </c>
      <c r="C280" s="100" t="s">
        <v>527</v>
      </c>
      <c r="D280" s="74" t="s">
        <v>77</v>
      </c>
      <c r="E280" s="75">
        <v>11</v>
      </c>
      <c r="F280" s="175"/>
      <c r="G280" s="174">
        <f t="shared" si="44"/>
        <v>11</v>
      </c>
      <c r="H280" s="67">
        <v>47</v>
      </c>
      <c r="I280" s="174">
        <v>26.52</v>
      </c>
      <c r="J280" s="174">
        <f t="shared" si="40"/>
        <v>517</v>
      </c>
      <c r="K280" s="174">
        <f aca="true" t="shared" si="45" ref="K280:K301">F280*H280</f>
        <v>0</v>
      </c>
      <c r="L280" s="174">
        <f t="shared" si="41"/>
        <v>34.476</v>
      </c>
      <c r="M280" s="174">
        <f t="shared" si="42"/>
        <v>291.71999999999997</v>
      </c>
      <c r="N280" s="174">
        <f t="shared" si="43"/>
        <v>379.236</v>
      </c>
    </row>
    <row r="281" spans="1:14" s="187" customFormat="1" ht="25.5">
      <c r="A281" s="186" t="s">
        <v>483</v>
      </c>
      <c r="B281" s="92" t="s">
        <v>534</v>
      </c>
      <c r="C281" s="101" t="s">
        <v>428</v>
      </c>
      <c r="D281" s="74" t="s">
        <v>77</v>
      </c>
      <c r="E281" s="75">
        <v>13</v>
      </c>
      <c r="F281" s="175"/>
      <c r="G281" s="174">
        <f t="shared" si="44"/>
        <v>13</v>
      </c>
      <c r="H281" s="67">
        <v>9</v>
      </c>
      <c r="I281" s="67">
        <v>17.6</v>
      </c>
      <c r="J281" s="174">
        <f t="shared" si="40"/>
        <v>117</v>
      </c>
      <c r="K281" s="174">
        <f t="shared" si="45"/>
        <v>0</v>
      </c>
      <c r="L281" s="174">
        <f t="shared" si="41"/>
        <v>22.880000000000003</v>
      </c>
      <c r="M281" s="174">
        <f t="shared" si="42"/>
        <v>228.8</v>
      </c>
      <c r="N281" s="174">
        <f t="shared" si="43"/>
        <v>297.44000000000005</v>
      </c>
    </row>
    <row r="282" spans="1:14" s="187" customFormat="1" ht="12.75">
      <c r="A282" s="186" t="s">
        <v>483</v>
      </c>
      <c r="B282" s="92" t="s">
        <v>548</v>
      </c>
      <c r="C282" s="100" t="s">
        <v>429</v>
      </c>
      <c r="D282" s="74" t="s">
        <v>77</v>
      </c>
      <c r="E282" s="75">
        <v>7</v>
      </c>
      <c r="F282" s="175"/>
      <c r="G282" s="174">
        <f t="shared" si="44"/>
        <v>7</v>
      </c>
      <c r="H282" s="67">
        <v>9</v>
      </c>
      <c r="I282" s="67">
        <v>17.6</v>
      </c>
      <c r="J282" s="174">
        <f t="shared" si="40"/>
        <v>63</v>
      </c>
      <c r="K282" s="174">
        <f t="shared" si="45"/>
        <v>0</v>
      </c>
      <c r="L282" s="174">
        <f t="shared" si="41"/>
        <v>22.880000000000003</v>
      </c>
      <c r="M282" s="174">
        <f t="shared" si="42"/>
        <v>123.20000000000002</v>
      </c>
      <c r="N282" s="174">
        <f t="shared" si="43"/>
        <v>160.16000000000003</v>
      </c>
    </row>
    <row r="283" spans="1:14" s="187" customFormat="1" ht="12.75">
      <c r="A283" s="186" t="s">
        <v>483</v>
      </c>
      <c r="B283" s="92" t="s">
        <v>569</v>
      </c>
      <c r="C283" s="100" t="s">
        <v>570</v>
      </c>
      <c r="D283" s="74" t="s">
        <v>77</v>
      </c>
      <c r="E283" s="75">
        <v>1</v>
      </c>
      <c r="F283" s="175"/>
      <c r="G283" s="174">
        <f t="shared" si="44"/>
        <v>1</v>
      </c>
      <c r="H283" s="67">
        <v>32</v>
      </c>
      <c r="I283" s="174">
        <v>30.8</v>
      </c>
      <c r="J283" s="174">
        <f t="shared" si="40"/>
        <v>32</v>
      </c>
      <c r="K283" s="174">
        <f t="shared" si="45"/>
        <v>0</v>
      </c>
      <c r="L283" s="174">
        <f t="shared" si="41"/>
        <v>40.04</v>
      </c>
      <c r="M283" s="174">
        <f t="shared" si="42"/>
        <v>30.8</v>
      </c>
      <c r="N283" s="174">
        <f t="shared" si="43"/>
        <v>40.04</v>
      </c>
    </row>
    <row r="284" spans="1:15" s="192" customFormat="1" ht="15.75">
      <c r="A284" s="191"/>
      <c r="B284" s="69"/>
      <c r="C284" s="70" t="s">
        <v>430</v>
      </c>
      <c r="D284" s="71"/>
      <c r="E284" s="72"/>
      <c r="F284" s="25"/>
      <c r="G284" s="179"/>
      <c r="H284" s="179"/>
      <c r="I284" s="179"/>
      <c r="J284" s="179">
        <f>SUM(J276:J283)</f>
        <v>1445.8</v>
      </c>
      <c r="K284" s="179">
        <f>SUM(K276:K283)</f>
        <v>0</v>
      </c>
      <c r="L284" s="179"/>
      <c r="M284" s="179">
        <f>SUM(M276:M283)</f>
        <v>1387.68</v>
      </c>
      <c r="N284" s="179">
        <f>SUM(N276:N283)</f>
        <v>1803.9840000000002</v>
      </c>
      <c r="O284" s="180"/>
    </row>
    <row r="285" spans="1:14" s="187" customFormat="1" ht="12.75">
      <c r="A285" s="186"/>
      <c r="B285" s="86" t="s">
        <v>4</v>
      </c>
      <c r="C285" s="87"/>
      <c r="D285" s="88"/>
      <c r="E285" s="89"/>
      <c r="F285" s="175"/>
      <c r="G285" s="174"/>
      <c r="H285" s="174"/>
      <c r="I285" s="174"/>
      <c r="J285" s="174"/>
      <c r="K285" s="174"/>
      <c r="L285" s="174"/>
      <c r="M285" s="174"/>
      <c r="N285" s="174"/>
    </row>
    <row r="286" spans="1:14" s="187" customFormat="1" ht="12.75">
      <c r="A286" s="186"/>
      <c r="B286" s="84">
        <v>14</v>
      </c>
      <c r="C286" s="73" t="s">
        <v>431</v>
      </c>
      <c r="D286" s="90"/>
      <c r="E286" s="91"/>
      <c r="F286" s="175"/>
      <c r="G286" s="174"/>
      <c r="H286" s="174"/>
      <c r="I286" s="174"/>
      <c r="J286" s="174"/>
      <c r="K286" s="174"/>
      <c r="L286" s="174"/>
      <c r="M286" s="174"/>
      <c r="N286" s="174"/>
    </row>
    <row r="287" spans="1:15" s="187" customFormat="1" ht="12.75">
      <c r="A287" s="186" t="s">
        <v>457</v>
      </c>
      <c r="B287" s="92" t="s">
        <v>468</v>
      </c>
      <c r="C287" s="101" t="s">
        <v>460</v>
      </c>
      <c r="D287" s="74" t="s">
        <v>7</v>
      </c>
      <c r="E287" s="63">
        <v>44</v>
      </c>
      <c r="F287" s="175"/>
      <c r="G287" s="174">
        <v>44</v>
      </c>
      <c r="H287" s="67">
        <v>88</v>
      </c>
      <c r="I287" s="67">
        <v>223.15</v>
      </c>
      <c r="J287" s="174">
        <f t="shared" si="40"/>
        <v>3872</v>
      </c>
      <c r="K287" s="174">
        <f t="shared" si="45"/>
        <v>0</v>
      </c>
      <c r="L287" s="174">
        <f aca="true" t="shared" si="46" ref="L287:L297">I287*(1+$M$11)</f>
        <v>290.095</v>
      </c>
      <c r="M287" s="174">
        <f aca="true" t="shared" si="47" ref="M287:M297">G287*I287</f>
        <v>9818.6</v>
      </c>
      <c r="N287" s="174">
        <f aca="true" t="shared" si="48" ref="N287:N297">G287*L287</f>
        <v>12764.18</v>
      </c>
      <c r="O287" s="188"/>
    </row>
    <row r="288" spans="1:15" s="187" customFormat="1" ht="12.75">
      <c r="A288" s="186" t="s">
        <v>432</v>
      </c>
      <c r="B288" s="92" t="s">
        <v>523</v>
      </c>
      <c r="C288" s="100" t="s">
        <v>433</v>
      </c>
      <c r="D288" s="74" t="s">
        <v>77</v>
      </c>
      <c r="E288" s="75">
        <v>4</v>
      </c>
      <c r="F288" s="175"/>
      <c r="G288" s="174">
        <f t="shared" si="44"/>
        <v>4</v>
      </c>
      <c r="H288" s="67">
        <v>134</v>
      </c>
      <c r="I288" s="67">
        <v>76.07</v>
      </c>
      <c r="J288" s="174">
        <f t="shared" si="40"/>
        <v>536</v>
      </c>
      <c r="K288" s="174">
        <f t="shared" si="45"/>
        <v>0</v>
      </c>
      <c r="L288" s="174">
        <f t="shared" si="46"/>
        <v>98.89099999999999</v>
      </c>
      <c r="M288" s="174">
        <f t="shared" si="47"/>
        <v>304.28</v>
      </c>
      <c r="N288" s="174">
        <f t="shared" si="48"/>
        <v>395.56399999999996</v>
      </c>
      <c r="O288" s="188"/>
    </row>
    <row r="289" spans="1:14" s="187" customFormat="1" ht="12.75">
      <c r="A289" s="186" t="s">
        <v>434</v>
      </c>
      <c r="B289" s="92" t="s">
        <v>522</v>
      </c>
      <c r="C289" s="64" t="s">
        <v>435</v>
      </c>
      <c r="D289" s="74" t="s">
        <v>77</v>
      </c>
      <c r="E289" s="63">
        <v>1</v>
      </c>
      <c r="F289" s="175"/>
      <c r="G289" s="174">
        <f t="shared" si="44"/>
        <v>1</v>
      </c>
      <c r="H289" s="67">
        <v>245</v>
      </c>
      <c r="I289" s="67">
        <v>318.61</v>
      </c>
      <c r="J289" s="174">
        <f t="shared" si="40"/>
        <v>245</v>
      </c>
      <c r="K289" s="174">
        <f t="shared" si="45"/>
        <v>0</v>
      </c>
      <c r="L289" s="174">
        <f t="shared" si="46"/>
        <v>414.19300000000004</v>
      </c>
      <c r="M289" s="174">
        <f t="shared" si="47"/>
        <v>318.61</v>
      </c>
      <c r="N289" s="174">
        <f t="shared" si="48"/>
        <v>414.19300000000004</v>
      </c>
    </row>
    <row r="290" spans="1:14" s="187" customFormat="1" ht="25.5">
      <c r="A290" s="186" t="s">
        <v>436</v>
      </c>
      <c r="B290" s="92" t="s">
        <v>515</v>
      </c>
      <c r="C290" s="101" t="s">
        <v>437</v>
      </c>
      <c r="D290" s="74" t="s">
        <v>77</v>
      </c>
      <c r="E290" s="63">
        <v>3</v>
      </c>
      <c r="F290" s="175"/>
      <c r="G290" s="174">
        <f t="shared" si="44"/>
        <v>3</v>
      </c>
      <c r="H290" s="67">
        <v>98</v>
      </c>
      <c r="I290" s="67">
        <v>133.89</v>
      </c>
      <c r="J290" s="174">
        <f t="shared" si="40"/>
        <v>294</v>
      </c>
      <c r="K290" s="174">
        <f t="shared" si="45"/>
        <v>0</v>
      </c>
      <c r="L290" s="174">
        <f t="shared" si="46"/>
        <v>174.057</v>
      </c>
      <c r="M290" s="174">
        <f t="shared" si="47"/>
        <v>401.66999999999996</v>
      </c>
      <c r="N290" s="174">
        <f t="shared" si="48"/>
        <v>522.1709999999999</v>
      </c>
    </row>
    <row r="291" spans="1:14" s="187" customFormat="1" ht="12.75">
      <c r="A291" s="186" t="s">
        <v>456</v>
      </c>
      <c r="B291" s="92" t="s">
        <v>507</v>
      </c>
      <c r="C291" s="64" t="s">
        <v>508</v>
      </c>
      <c r="D291" s="62" t="s">
        <v>77</v>
      </c>
      <c r="E291" s="63">
        <v>1</v>
      </c>
      <c r="F291" s="175"/>
      <c r="G291" s="174">
        <f t="shared" si="44"/>
        <v>1</v>
      </c>
      <c r="H291" s="67">
        <v>356</v>
      </c>
      <c r="I291" s="67">
        <v>550.59</v>
      </c>
      <c r="J291" s="174">
        <f t="shared" si="40"/>
        <v>356</v>
      </c>
      <c r="K291" s="174">
        <f t="shared" si="45"/>
        <v>0</v>
      </c>
      <c r="L291" s="174">
        <f t="shared" si="46"/>
        <v>715.767</v>
      </c>
      <c r="M291" s="174">
        <f t="shared" si="47"/>
        <v>550.59</v>
      </c>
      <c r="N291" s="174">
        <f t="shared" si="48"/>
        <v>715.767</v>
      </c>
    </row>
    <row r="292" spans="1:14" s="187" customFormat="1" ht="63.75">
      <c r="A292" s="186" t="s">
        <v>438</v>
      </c>
      <c r="B292" s="92" t="s">
        <v>473</v>
      </c>
      <c r="C292" s="107" t="s">
        <v>439</v>
      </c>
      <c r="D292" s="74" t="s">
        <v>7</v>
      </c>
      <c r="E292" s="63">
        <v>214</v>
      </c>
      <c r="F292" s="175">
        <f>122.78/16</f>
        <v>7.67375</v>
      </c>
      <c r="G292" s="174">
        <v>214</v>
      </c>
      <c r="H292" s="67">
        <v>16</v>
      </c>
      <c r="I292" s="67">
        <v>29.29</v>
      </c>
      <c r="J292" s="174">
        <f t="shared" si="40"/>
        <v>3424</v>
      </c>
      <c r="K292" s="174">
        <f t="shared" si="45"/>
        <v>122.78</v>
      </c>
      <c r="L292" s="174">
        <f t="shared" si="46"/>
        <v>38.077</v>
      </c>
      <c r="M292" s="174">
        <f t="shared" si="47"/>
        <v>6268.0599999999995</v>
      </c>
      <c r="N292" s="174">
        <f t="shared" si="48"/>
        <v>8148.477999999999</v>
      </c>
    </row>
    <row r="293" spans="1:14" s="187" customFormat="1" ht="12.75">
      <c r="A293" s="186" t="s">
        <v>440</v>
      </c>
      <c r="B293" s="92" t="s">
        <v>484</v>
      </c>
      <c r="C293" s="93" t="s">
        <v>441</v>
      </c>
      <c r="D293" s="74" t="s">
        <v>7</v>
      </c>
      <c r="E293" s="63">
        <v>354</v>
      </c>
      <c r="F293" s="175"/>
      <c r="G293" s="174">
        <f t="shared" si="44"/>
        <v>354</v>
      </c>
      <c r="H293" s="67">
        <v>5.4</v>
      </c>
      <c r="I293" s="67">
        <v>9.22</v>
      </c>
      <c r="J293" s="174">
        <f t="shared" si="40"/>
        <v>1911.6000000000001</v>
      </c>
      <c r="K293" s="174">
        <f t="shared" si="45"/>
        <v>0</v>
      </c>
      <c r="L293" s="174">
        <f t="shared" si="46"/>
        <v>11.986</v>
      </c>
      <c r="M293" s="174">
        <f t="shared" si="47"/>
        <v>3263.88</v>
      </c>
      <c r="N293" s="174">
        <f t="shared" si="48"/>
        <v>4243.044</v>
      </c>
    </row>
    <row r="294" spans="1:14" s="187" customFormat="1" ht="12.75">
      <c r="A294" s="186" t="s">
        <v>442</v>
      </c>
      <c r="B294" s="92" t="s">
        <v>493</v>
      </c>
      <c r="C294" s="93" t="s">
        <v>443</v>
      </c>
      <c r="D294" s="74" t="s">
        <v>7</v>
      </c>
      <c r="E294" s="63">
        <v>562</v>
      </c>
      <c r="F294" s="175"/>
      <c r="G294" s="174">
        <v>562</v>
      </c>
      <c r="H294" s="67">
        <v>2.8</v>
      </c>
      <c r="I294" s="67">
        <v>3.42</v>
      </c>
      <c r="J294" s="174">
        <f t="shared" si="40"/>
        <v>1573.6</v>
      </c>
      <c r="K294" s="174">
        <f t="shared" si="45"/>
        <v>0</v>
      </c>
      <c r="L294" s="174">
        <f t="shared" si="46"/>
        <v>4.446</v>
      </c>
      <c r="M294" s="174">
        <f t="shared" si="47"/>
        <v>1922.04</v>
      </c>
      <c r="N294" s="174">
        <f t="shared" si="48"/>
        <v>2498.652</v>
      </c>
    </row>
    <row r="295" spans="1:15" s="187" customFormat="1" ht="38.25">
      <c r="A295" s="186" t="s">
        <v>466</v>
      </c>
      <c r="B295" s="92" t="s">
        <v>465</v>
      </c>
      <c r="C295" s="107" t="s">
        <v>444</v>
      </c>
      <c r="D295" s="74" t="s">
        <v>28</v>
      </c>
      <c r="E295" s="78">
        <v>35</v>
      </c>
      <c r="F295" s="175"/>
      <c r="G295" s="174">
        <v>35</v>
      </c>
      <c r="H295" s="67">
        <v>223</v>
      </c>
      <c r="I295" s="67">
        <v>365.41</v>
      </c>
      <c r="J295" s="174">
        <f t="shared" si="40"/>
        <v>7805</v>
      </c>
      <c r="K295" s="174">
        <f t="shared" si="45"/>
        <v>0</v>
      </c>
      <c r="L295" s="174">
        <f t="shared" si="46"/>
        <v>475.0330000000001</v>
      </c>
      <c r="M295" s="174">
        <f t="shared" si="47"/>
        <v>12789.35</v>
      </c>
      <c r="N295" s="174">
        <f t="shared" si="48"/>
        <v>16626.155000000002</v>
      </c>
      <c r="O295" s="194"/>
    </row>
    <row r="296" spans="1:14" s="187" customFormat="1" ht="12.75">
      <c r="A296" s="186" t="s">
        <v>466</v>
      </c>
      <c r="B296" s="92" t="s">
        <v>445</v>
      </c>
      <c r="C296" s="93" t="s">
        <v>446</v>
      </c>
      <c r="D296" s="74" t="s">
        <v>28</v>
      </c>
      <c r="E296" s="78">
        <v>114</v>
      </c>
      <c r="F296" s="175">
        <v>114</v>
      </c>
      <c r="G296" s="174">
        <f t="shared" si="44"/>
        <v>0</v>
      </c>
      <c r="H296" s="78">
        <v>123</v>
      </c>
      <c r="I296" s="174">
        <v>178.85</v>
      </c>
      <c r="J296" s="174">
        <f t="shared" si="40"/>
        <v>14022</v>
      </c>
      <c r="K296" s="174">
        <f t="shared" si="45"/>
        <v>14022</v>
      </c>
      <c r="L296" s="174">
        <f t="shared" si="46"/>
        <v>232.505</v>
      </c>
      <c r="M296" s="174">
        <f t="shared" si="47"/>
        <v>0</v>
      </c>
      <c r="N296" s="174">
        <f t="shared" si="48"/>
        <v>0</v>
      </c>
    </row>
    <row r="297" spans="1:15" s="187" customFormat="1" ht="38.25">
      <c r="A297" s="186" t="s">
        <v>466</v>
      </c>
      <c r="B297" s="92" t="s">
        <v>481</v>
      </c>
      <c r="C297" s="101" t="s">
        <v>447</v>
      </c>
      <c r="D297" s="74" t="s">
        <v>28</v>
      </c>
      <c r="E297" s="78">
        <v>24</v>
      </c>
      <c r="F297" s="175"/>
      <c r="G297" s="174">
        <f t="shared" si="44"/>
        <v>24</v>
      </c>
      <c r="H297" s="78">
        <v>98</v>
      </c>
      <c r="I297" s="174">
        <v>134.39</v>
      </c>
      <c r="J297" s="174">
        <f t="shared" si="40"/>
        <v>2352</v>
      </c>
      <c r="K297" s="174">
        <f t="shared" si="45"/>
        <v>0</v>
      </c>
      <c r="L297" s="174">
        <f t="shared" si="46"/>
        <v>174.707</v>
      </c>
      <c r="M297" s="174">
        <f t="shared" si="47"/>
        <v>3225.3599999999997</v>
      </c>
      <c r="N297" s="174">
        <f t="shared" si="48"/>
        <v>4192.968</v>
      </c>
      <c r="O297" s="195"/>
    </row>
    <row r="298" spans="1:15" s="192" customFormat="1" ht="15.75">
      <c r="A298" s="191"/>
      <c r="B298" s="69"/>
      <c r="C298" s="70" t="s">
        <v>448</v>
      </c>
      <c r="D298" s="71"/>
      <c r="E298" s="72"/>
      <c r="F298" s="25"/>
      <c r="G298" s="179"/>
      <c r="H298" s="179"/>
      <c r="I298" s="179"/>
      <c r="J298" s="179">
        <f>SUM(J287:J297)</f>
        <v>36391.2</v>
      </c>
      <c r="K298" s="179">
        <f>SUM(K287:K297)</f>
        <v>14144.78</v>
      </c>
      <c r="L298" s="179"/>
      <c r="M298" s="179">
        <f>SUM(M287:M297)</f>
        <v>38862.44</v>
      </c>
      <c r="N298" s="179">
        <f>SUM(N287:N297)</f>
        <v>50521.172</v>
      </c>
      <c r="O298" s="180"/>
    </row>
    <row r="299" spans="1:14" s="187" customFormat="1" ht="12.75">
      <c r="A299" s="186"/>
      <c r="B299" s="92"/>
      <c r="C299" s="73"/>
      <c r="D299" s="74"/>
      <c r="E299" s="75"/>
      <c r="F299" s="175"/>
      <c r="G299" s="174"/>
      <c r="H299" s="174"/>
      <c r="I299" s="174"/>
      <c r="J299" s="174"/>
      <c r="K299" s="174"/>
      <c r="L299" s="174"/>
      <c r="M299" s="174"/>
      <c r="N299" s="174"/>
    </row>
    <row r="300" spans="1:14" s="187" customFormat="1" ht="12.75">
      <c r="A300" s="186"/>
      <c r="B300" s="84">
        <v>15</v>
      </c>
      <c r="C300" s="85" t="s">
        <v>449</v>
      </c>
      <c r="D300" s="62"/>
      <c r="E300" s="75"/>
      <c r="F300" s="175"/>
      <c r="G300" s="174"/>
      <c r="H300" s="174"/>
      <c r="I300" s="174"/>
      <c r="J300" s="174"/>
      <c r="K300" s="174"/>
      <c r="L300" s="174"/>
      <c r="M300" s="174"/>
      <c r="N300" s="174"/>
    </row>
    <row r="301" spans="1:14" s="187" customFormat="1" ht="25.5">
      <c r="A301" s="186" t="s">
        <v>450</v>
      </c>
      <c r="B301" s="61" t="s">
        <v>485</v>
      </c>
      <c r="C301" s="101" t="s">
        <v>451</v>
      </c>
      <c r="D301" s="62" t="s">
        <v>7</v>
      </c>
      <c r="E301" s="63">
        <v>608</v>
      </c>
      <c r="F301" s="175"/>
      <c r="G301" s="174">
        <f t="shared" si="44"/>
        <v>608</v>
      </c>
      <c r="H301" s="67">
        <v>2</v>
      </c>
      <c r="I301" s="67">
        <v>5.11</v>
      </c>
      <c r="J301" s="174">
        <f t="shared" si="40"/>
        <v>1216</v>
      </c>
      <c r="K301" s="174">
        <f t="shared" si="45"/>
        <v>0</v>
      </c>
      <c r="L301" s="174">
        <f>I301*(1+$M$11)</f>
        <v>6.643000000000001</v>
      </c>
      <c r="M301" s="174">
        <f>G301*I301</f>
        <v>3106.88</v>
      </c>
      <c r="N301" s="174">
        <f>G301*L301</f>
        <v>4038.9440000000004</v>
      </c>
    </row>
    <row r="302" spans="1:15" s="192" customFormat="1" ht="15.75">
      <c r="A302" s="191"/>
      <c r="B302" s="69"/>
      <c r="C302" s="94" t="s">
        <v>452</v>
      </c>
      <c r="D302" s="71"/>
      <c r="E302" s="95"/>
      <c r="F302" s="25"/>
      <c r="G302" s="179"/>
      <c r="H302" s="179"/>
      <c r="I302" s="179"/>
      <c r="J302" s="179">
        <f>SUM(J301)</f>
        <v>1216</v>
      </c>
      <c r="K302" s="179">
        <f>SUM(K301)</f>
        <v>0</v>
      </c>
      <c r="L302" s="179"/>
      <c r="M302" s="179">
        <f>SUM(M301)</f>
        <v>3106.88</v>
      </c>
      <c r="N302" s="179">
        <f>SUM(N301)</f>
        <v>4038.9440000000004</v>
      </c>
      <c r="O302" s="180"/>
    </row>
    <row r="303" spans="1:15" s="192" customFormat="1" ht="15.75">
      <c r="A303" s="254" t="s">
        <v>677</v>
      </c>
      <c r="B303" s="255"/>
      <c r="C303" s="255"/>
      <c r="D303" s="256"/>
      <c r="E303" s="95"/>
      <c r="F303" s="25"/>
      <c r="G303" s="179"/>
      <c r="H303" s="179"/>
      <c r="I303" s="179"/>
      <c r="J303" s="179">
        <f>J23+J36+J46+J52+J63+J89+J100+J109+J117+J125+J209+J273+J284+J298+J302</f>
        <v>436372.62999999995</v>
      </c>
      <c r="K303" s="179">
        <f>K23+K36+K46+K52+K63+K89+K100+K109+K117+K125+K209+K273+K284+K298+K302</f>
        <v>243811.06999999998</v>
      </c>
      <c r="L303" s="179"/>
      <c r="M303" s="179">
        <f>M23+M36+M46+M52+M63+M89+M100+M109+M117+M125+M209+M273+M284+M298+M302</f>
        <v>312901.8074</v>
      </c>
      <c r="N303" s="179">
        <f>N302+N298+N284+N273+N209+N125+N117+N109+N100+N89+N63+N52+N23</f>
        <v>406772.34961999994</v>
      </c>
      <c r="O303" s="180"/>
    </row>
    <row r="304" spans="1:14" ht="15.75">
      <c r="A304" s="196"/>
      <c r="B304" s="196"/>
      <c r="C304" s="196"/>
      <c r="D304" s="196"/>
      <c r="E304" s="96"/>
      <c r="F304" s="197"/>
      <c r="G304" s="135"/>
      <c r="J304" s="194"/>
      <c r="K304" s="194"/>
      <c r="L304" s="194"/>
      <c r="M304" s="194"/>
      <c r="N304" s="194"/>
    </row>
    <row r="305" spans="1:14" ht="15.75">
      <c r="A305" s="196"/>
      <c r="B305" s="196"/>
      <c r="C305" s="196"/>
      <c r="D305" s="196"/>
      <c r="E305" s="96"/>
      <c r="F305" s="197"/>
      <c r="G305" s="135"/>
      <c r="J305" s="194"/>
      <c r="K305" s="194"/>
      <c r="L305" s="194"/>
      <c r="M305" s="194"/>
      <c r="N305" s="194"/>
    </row>
    <row r="306" spans="6:14" ht="12.75">
      <c r="F306" s="135"/>
      <c r="G306" s="135"/>
      <c r="M306" s="198"/>
      <c r="N306" s="198"/>
    </row>
    <row r="307" spans="6:10" ht="12.75">
      <c r="F307" s="135"/>
      <c r="G307" s="135"/>
      <c r="J307" s="198">
        <f>SUM(J15:J302)</f>
        <v>898613.8599999999</v>
      </c>
    </row>
    <row r="308" spans="6:10" ht="12.75">
      <c r="F308" s="135"/>
      <c r="G308" s="135"/>
      <c r="J308" s="198">
        <f>J307-J273</f>
        <v>872745.2599999999</v>
      </c>
    </row>
    <row r="309" spans="6:10" ht="12.75">
      <c r="F309" s="135"/>
      <c r="G309" s="135"/>
      <c r="J309" s="198">
        <f>J308/2</f>
        <v>436372.62999999995</v>
      </c>
    </row>
    <row r="310" spans="6:7" ht="12.75">
      <c r="F310" s="135"/>
      <c r="G310" s="135"/>
    </row>
    <row r="311" spans="6:7" ht="12.75">
      <c r="F311" s="135"/>
      <c r="G311" s="135"/>
    </row>
    <row r="312" spans="6:7" ht="12.75">
      <c r="F312" s="135"/>
      <c r="G312" s="135"/>
    </row>
    <row r="313" spans="6:7" ht="12.75">
      <c r="F313" s="135"/>
      <c r="G313" s="135"/>
    </row>
    <row r="314" spans="6:7" ht="12.75">
      <c r="F314" s="135"/>
      <c r="G314" s="135"/>
    </row>
    <row r="315" spans="6:7" ht="12.75">
      <c r="F315" s="135"/>
      <c r="G315" s="135"/>
    </row>
    <row r="316" spans="6:7" ht="12.75">
      <c r="F316" s="135"/>
      <c r="G316" s="135"/>
    </row>
    <row r="317" spans="6:7" ht="12.75">
      <c r="F317" s="135"/>
      <c r="G317" s="135"/>
    </row>
    <row r="318" spans="6:7" ht="12.75">
      <c r="F318" s="135"/>
      <c r="G318" s="135"/>
    </row>
    <row r="319" spans="6:7" ht="12.75">
      <c r="F319" s="135"/>
      <c r="G319" s="135"/>
    </row>
    <row r="320" spans="6:7" ht="12.75">
      <c r="F320" s="135"/>
      <c r="G320" s="135"/>
    </row>
    <row r="321" spans="6:7" ht="12.75">
      <c r="F321" s="135"/>
      <c r="G321" s="135"/>
    </row>
    <row r="322" spans="6:7" ht="12.75">
      <c r="F322" s="135"/>
      <c r="G322" s="135"/>
    </row>
    <row r="323" spans="6:7" ht="12.75">
      <c r="F323" s="135"/>
      <c r="G323" s="135"/>
    </row>
    <row r="324" spans="6:7" ht="12.75">
      <c r="F324" s="135"/>
      <c r="G324" s="135"/>
    </row>
    <row r="325" spans="6:7" ht="12.75">
      <c r="F325" s="135"/>
      <c r="G325" s="135"/>
    </row>
    <row r="326" spans="6:7" ht="12.75">
      <c r="F326" s="135"/>
      <c r="G326" s="135"/>
    </row>
    <row r="327" spans="6:7" ht="12.75">
      <c r="F327" s="135"/>
      <c r="G327" s="135"/>
    </row>
    <row r="328" spans="6:7" ht="12.75">
      <c r="F328" s="135"/>
      <c r="G328" s="135"/>
    </row>
    <row r="329" spans="6:7" ht="12.75">
      <c r="F329" s="135"/>
      <c r="G329" s="135"/>
    </row>
    <row r="330" spans="6:7" ht="12.75">
      <c r="F330" s="135"/>
      <c r="G330" s="135"/>
    </row>
    <row r="331" spans="6:7" ht="12.75">
      <c r="F331" s="135"/>
      <c r="G331" s="135"/>
    </row>
    <row r="332" spans="6:7" ht="12.75">
      <c r="F332" s="135"/>
      <c r="G332" s="135"/>
    </row>
    <row r="333" spans="6:7" ht="12.75">
      <c r="F333" s="135"/>
      <c r="G333" s="135"/>
    </row>
    <row r="334" spans="6:7" ht="12.75">
      <c r="F334" s="135"/>
      <c r="G334" s="135"/>
    </row>
    <row r="335" spans="6:7" ht="12.75">
      <c r="F335" s="135"/>
      <c r="G335" s="135"/>
    </row>
    <row r="336" spans="6:7" ht="12.75">
      <c r="F336" s="135"/>
      <c r="G336" s="135"/>
    </row>
    <row r="337" spans="6:7" ht="12.75">
      <c r="F337" s="135"/>
      <c r="G337" s="135"/>
    </row>
    <row r="338" spans="6:7" ht="12.75">
      <c r="F338" s="135"/>
      <c r="G338" s="135"/>
    </row>
    <row r="339" spans="6:7" ht="12.75">
      <c r="F339" s="135"/>
      <c r="G339" s="135"/>
    </row>
    <row r="340" spans="6:7" ht="12.75">
      <c r="F340" s="135"/>
      <c r="G340" s="135"/>
    </row>
    <row r="341" spans="6:7" ht="12.75">
      <c r="F341" s="135"/>
      <c r="G341" s="135"/>
    </row>
    <row r="342" spans="6:7" ht="12.75">
      <c r="F342" s="135"/>
      <c r="G342" s="135"/>
    </row>
    <row r="343" spans="6:7" ht="12.75">
      <c r="F343" s="135"/>
      <c r="G343" s="135"/>
    </row>
    <row r="344" spans="6:7" ht="12.75">
      <c r="F344" s="135"/>
      <c r="G344" s="135"/>
    </row>
    <row r="345" spans="6:7" ht="12.75">
      <c r="F345" s="135"/>
      <c r="G345" s="135"/>
    </row>
    <row r="346" spans="6:7" ht="12.75">
      <c r="F346" s="135"/>
      <c r="G346" s="135"/>
    </row>
    <row r="347" spans="6:7" ht="12.75">
      <c r="F347" s="135"/>
      <c r="G347" s="135"/>
    </row>
    <row r="348" spans="6:7" ht="12.75">
      <c r="F348" s="135"/>
      <c r="G348" s="135"/>
    </row>
    <row r="349" spans="6:7" ht="12.75">
      <c r="F349" s="135"/>
      <c r="G349" s="135"/>
    </row>
    <row r="350" spans="6:7" ht="12.75">
      <c r="F350" s="135"/>
      <c r="G350" s="135"/>
    </row>
    <row r="351" spans="6:7" ht="12.75">
      <c r="F351" s="135"/>
      <c r="G351" s="135"/>
    </row>
    <row r="352" spans="6:7" ht="12.75">
      <c r="F352" s="135"/>
      <c r="G352" s="135"/>
    </row>
    <row r="353" spans="6:7" ht="12.75">
      <c r="F353" s="135"/>
      <c r="G353" s="135"/>
    </row>
    <row r="354" spans="6:7" ht="12.75">
      <c r="F354" s="135"/>
      <c r="G354" s="135"/>
    </row>
    <row r="355" spans="6:7" ht="12.75">
      <c r="F355" s="135"/>
      <c r="G355" s="135"/>
    </row>
    <row r="356" spans="6:7" ht="12.75">
      <c r="F356" s="135"/>
      <c r="G356" s="135"/>
    </row>
    <row r="357" spans="6:7" ht="12.75">
      <c r="F357" s="135"/>
      <c r="G357" s="135"/>
    </row>
    <row r="358" spans="6:7" ht="12.75">
      <c r="F358" s="135"/>
      <c r="G358" s="135"/>
    </row>
    <row r="359" spans="6:7" ht="12.75">
      <c r="F359" s="135"/>
      <c r="G359" s="135"/>
    </row>
    <row r="360" spans="6:7" ht="12.75">
      <c r="F360" s="135"/>
      <c r="G360" s="135"/>
    </row>
    <row r="361" spans="6:7" ht="12.75">
      <c r="F361" s="135"/>
      <c r="G361" s="135"/>
    </row>
    <row r="362" spans="6:7" ht="12.75">
      <c r="F362" s="135"/>
      <c r="G362" s="135"/>
    </row>
    <row r="363" spans="6:7" ht="12.75">
      <c r="F363" s="135"/>
      <c r="G363" s="135"/>
    </row>
    <row r="364" spans="6:7" ht="12.75">
      <c r="F364" s="135"/>
      <c r="G364" s="135"/>
    </row>
    <row r="365" spans="6:7" ht="12.75">
      <c r="F365" s="135"/>
      <c r="G365" s="135"/>
    </row>
    <row r="366" spans="6:7" ht="12.75">
      <c r="F366" s="135"/>
      <c r="G366" s="135"/>
    </row>
    <row r="367" spans="6:7" ht="12.75">
      <c r="F367" s="135"/>
      <c r="G367" s="135"/>
    </row>
    <row r="368" spans="6:7" ht="12.75">
      <c r="F368" s="135"/>
      <c r="G368" s="135"/>
    </row>
    <row r="369" spans="6:7" ht="12.75">
      <c r="F369" s="135"/>
      <c r="G369" s="135"/>
    </row>
    <row r="370" spans="6:7" ht="12.75">
      <c r="F370" s="135"/>
      <c r="G370" s="135"/>
    </row>
    <row r="371" spans="6:7" ht="12.75">
      <c r="F371" s="135"/>
      <c r="G371" s="135"/>
    </row>
    <row r="372" spans="6:7" ht="12.75">
      <c r="F372" s="135"/>
      <c r="G372" s="135"/>
    </row>
    <row r="373" spans="6:7" ht="12.75">
      <c r="F373" s="135"/>
      <c r="G373" s="135"/>
    </row>
    <row r="374" spans="6:7" ht="12.75">
      <c r="F374" s="135"/>
      <c r="G374" s="135"/>
    </row>
    <row r="375" spans="6:7" ht="12.75">
      <c r="F375" s="135"/>
      <c r="G375" s="135"/>
    </row>
    <row r="376" spans="6:7" ht="12.75">
      <c r="F376" s="135"/>
      <c r="G376" s="135"/>
    </row>
    <row r="377" spans="6:7" ht="12.75">
      <c r="F377" s="135"/>
      <c r="G377" s="135"/>
    </row>
    <row r="378" spans="6:7" ht="12.75">
      <c r="F378" s="135"/>
      <c r="G378" s="135"/>
    </row>
    <row r="379" spans="6:7" ht="12.75">
      <c r="F379" s="135"/>
      <c r="G379" s="135"/>
    </row>
    <row r="380" spans="6:7" ht="12.75">
      <c r="F380" s="135"/>
      <c r="G380" s="135"/>
    </row>
    <row r="381" spans="6:7" ht="12.75">
      <c r="F381" s="135"/>
      <c r="G381" s="135"/>
    </row>
    <row r="382" spans="6:7" ht="12.75">
      <c r="F382" s="135"/>
      <c r="G382" s="135"/>
    </row>
    <row r="383" spans="6:7" ht="12.75">
      <c r="F383" s="135"/>
      <c r="G383" s="135"/>
    </row>
  </sheetData>
  <sheetProtection password="F751" sheet="1" objects="1" scenarios="1"/>
  <mergeCells count="31">
    <mergeCell ref="A1:M1"/>
    <mergeCell ref="A2:M2"/>
    <mergeCell ref="A6:H6"/>
    <mergeCell ref="A4:N4"/>
    <mergeCell ref="I6:N6"/>
    <mergeCell ref="A11:F11"/>
    <mergeCell ref="H11:I11"/>
    <mergeCell ref="G10:I10"/>
    <mergeCell ref="A9:I9"/>
    <mergeCell ref="J9:K9"/>
    <mergeCell ref="A7:N7"/>
    <mergeCell ref="A8:N8"/>
    <mergeCell ref="M9:N9"/>
    <mergeCell ref="J10:N10"/>
    <mergeCell ref="M11:N11"/>
    <mergeCell ref="F13:F14"/>
    <mergeCell ref="G13:G14"/>
    <mergeCell ref="H13:H14"/>
    <mergeCell ref="A10:F10"/>
    <mergeCell ref="A13:A14"/>
    <mergeCell ref="B13:B14"/>
    <mergeCell ref="C13:C14"/>
    <mergeCell ref="D13:D14"/>
    <mergeCell ref="M13:M14"/>
    <mergeCell ref="N13:N14"/>
    <mergeCell ref="A303:D303"/>
    <mergeCell ref="I13:I14"/>
    <mergeCell ref="J13:J14"/>
    <mergeCell ref="K13:K14"/>
    <mergeCell ref="L13:L14"/>
    <mergeCell ref="E13:E14"/>
  </mergeCells>
  <conditionalFormatting sqref="E19:E20">
    <cfRule type="cellIs" priority="1" dxfId="0" operator="equal" stopIfTrue="1">
      <formula>0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4"/>
  <headerFooter alignWithMargins="0">
    <oddFooter>&amp;CPágina &amp;P de &amp;N</oddFooter>
  </headerFooter>
  <legacyDrawing r:id="rId3"/>
  <oleObjects>
    <oleObject progId="Word.Picture.8" shapeId="798986" r:id="rId1"/>
    <oleObject progId="Word.Picture.8" shapeId="79898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="75" zoomScaleNormal="75" zoomScalePageLayoutView="0" workbookViewId="0" topLeftCell="A17">
      <selection activeCell="I49" sqref="I49"/>
    </sheetView>
  </sheetViews>
  <sheetFormatPr defaultColWidth="11.421875" defaultRowHeight="12.75"/>
  <cols>
    <col min="1" max="1" width="6.28125" style="201" customWidth="1"/>
    <col min="2" max="2" width="13.421875" style="201" customWidth="1"/>
    <col min="3" max="3" width="12.8515625" style="201" customWidth="1"/>
    <col min="4" max="4" width="13.7109375" style="201" customWidth="1"/>
    <col min="5" max="5" width="9.00390625" style="236" customWidth="1"/>
    <col min="6" max="6" width="10.57421875" style="236" customWidth="1"/>
    <col min="7" max="12" width="11.7109375" style="201" customWidth="1"/>
    <col min="13" max="18" width="11.421875" style="201" hidden="1" customWidth="1"/>
    <col min="19" max="19" width="11.421875" style="201" customWidth="1"/>
    <col min="20" max="20" width="12.00390625" style="201" bestFit="1" customWidth="1"/>
    <col min="21" max="16384" width="11.421875" style="201" customWidth="1"/>
  </cols>
  <sheetData>
    <row r="1" spans="1:20" s="124" customFormat="1" ht="30" customHeight="1">
      <c r="A1" s="281" t="s">
        <v>601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</row>
    <row r="2" spans="1:20" s="124" customFormat="1" ht="32.25" customHeight="1">
      <c r="A2" s="310" t="s">
        <v>602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</row>
    <row r="3" spans="1:10" s="124" customFormat="1" ht="6" customHeight="1">
      <c r="A3" s="109"/>
      <c r="B3" s="109"/>
      <c r="C3" s="109"/>
      <c r="D3" s="109"/>
      <c r="E3" s="109"/>
      <c r="F3" s="109"/>
      <c r="G3" s="109"/>
      <c r="J3" s="125"/>
    </row>
    <row r="4" spans="1:20" s="124" customFormat="1" ht="23.25">
      <c r="A4" s="240" t="s">
        <v>624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2"/>
    </row>
    <row r="5" spans="1:10" s="124" customFormat="1" ht="4.5" customHeight="1">
      <c r="A5" s="310"/>
      <c r="B5" s="310"/>
      <c r="C5" s="310"/>
      <c r="D5" s="310"/>
      <c r="E5" s="310"/>
      <c r="F5" s="310"/>
      <c r="G5" s="310"/>
      <c r="H5" s="310"/>
      <c r="I5" s="310"/>
      <c r="J5" s="125"/>
    </row>
    <row r="6" spans="1:20" s="124" customFormat="1" ht="23.25" customHeight="1">
      <c r="A6" s="314" t="str">
        <f>'[2]ORÇAMENTO'!A6</f>
        <v>PROGRAMA: ESTRUTURAÇÃO DA ATENÇÃO BASICA À SAUDE</v>
      </c>
      <c r="B6" s="315"/>
      <c r="C6" s="315"/>
      <c r="D6" s="315"/>
      <c r="E6" s="315"/>
      <c r="F6" s="315"/>
      <c r="G6" s="315"/>
      <c r="H6" s="315"/>
      <c r="I6" s="315"/>
      <c r="J6" s="316"/>
      <c r="K6" s="311" t="str">
        <f>'[2]ORÇAMENTO'!I6</f>
        <v>CONTRATO:0276370-00</v>
      </c>
      <c r="L6" s="312"/>
      <c r="M6" s="312"/>
      <c r="N6" s="312"/>
      <c r="O6" s="312"/>
      <c r="P6" s="312"/>
      <c r="Q6" s="312"/>
      <c r="R6" s="312"/>
      <c r="S6" s="312"/>
      <c r="T6" s="313"/>
    </row>
    <row r="7" spans="1:20" s="124" customFormat="1" ht="23.25" customHeight="1">
      <c r="A7" s="314" t="str">
        <f>'[2]ORÇAMENTO'!A7</f>
        <v>PROJETO: TERMINO DE CONSTRUÇÃO DE UNIDADE BASICA DE SAUDE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6"/>
    </row>
    <row r="8" spans="1:20" s="124" customFormat="1" ht="23.25" customHeight="1">
      <c r="A8" s="317" t="str">
        <f>'[2]ORÇAMENTO'!A8</f>
        <v>LOCAL: BAIRRO JARDIM PANORÂMICO - PATOS DE MINAS/MG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9"/>
    </row>
    <row r="9" spans="1:20" s="124" customFormat="1" ht="23.25" customHeight="1">
      <c r="A9" s="137" t="str">
        <f>'[2]ORÇAMENTO'!A9</f>
        <v>REFERÊNCIA DE PREÇOS: TABELA SINAPI, PRAÇA</v>
      </c>
      <c r="B9" s="138"/>
      <c r="C9" s="138"/>
      <c r="D9" s="138"/>
      <c r="E9" s="138"/>
      <c r="F9" s="138"/>
      <c r="G9" s="138"/>
      <c r="H9" s="138"/>
      <c r="I9" s="139"/>
      <c r="J9" s="322" t="str">
        <f>'[2]ORÇAMENTO'!J9</f>
        <v>DATA DE REFERÊNCIA:</v>
      </c>
      <c r="K9" s="323"/>
      <c r="L9" s="323"/>
      <c r="M9" s="323"/>
      <c r="N9" s="323"/>
      <c r="O9" s="323"/>
      <c r="P9" s="323"/>
      <c r="Q9" s="323"/>
      <c r="R9" s="323"/>
      <c r="S9" s="323"/>
      <c r="T9" s="140">
        <f>'[2]ORÇAMENTO'!M9</f>
        <v>41000</v>
      </c>
    </row>
    <row r="10" spans="1:20" s="124" customFormat="1" ht="23.25" customHeight="1">
      <c r="A10" s="326" t="str">
        <f>orçamento!A10</f>
        <v>PROF. RESP.: MARIA IGNES SILVERIO</v>
      </c>
      <c r="B10" s="327"/>
      <c r="C10" s="327"/>
      <c r="D10" s="327"/>
      <c r="E10" s="327"/>
      <c r="F10" s="328"/>
      <c r="G10" s="130"/>
      <c r="H10" s="329" t="str">
        <f>orçamento!G10</f>
        <v>CREA:MG-30.465/D</v>
      </c>
      <c r="I10" s="329"/>
      <c r="J10" s="135"/>
      <c r="K10" s="135"/>
      <c r="L10" s="135"/>
      <c r="M10" s="135"/>
      <c r="N10" s="135"/>
      <c r="O10" s="135"/>
      <c r="P10" s="135"/>
      <c r="Q10" s="135"/>
      <c r="R10" s="135"/>
      <c r="S10" s="141" t="str">
        <f>orçamento!J10</f>
        <v>ART: 767429</v>
      </c>
      <c r="T10" s="142"/>
    </row>
    <row r="11" spans="1:20" s="124" customFormat="1" ht="23.25" customHeight="1">
      <c r="A11" s="330" t="s">
        <v>676</v>
      </c>
      <c r="B11" s="331"/>
      <c r="C11" s="331"/>
      <c r="D11" s="331"/>
      <c r="E11" s="332"/>
      <c r="F11" s="143" t="s">
        <v>588</v>
      </c>
      <c r="G11" s="333">
        <v>41135</v>
      </c>
      <c r="H11" s="333"/>
      <c r="I11" s="128"/>
      <c r="J11" s="129"/>
      <c r="K11" s="334" t="s">
        <v>589</v>
      </c>
      <c r="L11" s="335"/>
      <c r="M11" s="145"/>
      <c r="N11" s="145"/>
      <c r="O11" s="145"/>
      <c r="P11" s="145"/>
      <c r="Q11" s="145"/>
      <c r="R11" s="145"/>
      <c r="S11" s="336">
        <f>'[2]ORÇAMENTO'!K11</f>
        <v>0.3</v>
      </c>
      <c r="T11" s="263"/>
    </row>
    <row r="12" spans="1:12" ht="4.5" customHeight="1" thickBot="1">
      <c r="A12" s="324"/>
      <c r="B12" s="324"/>
      <c r="C12" s="324"/>
      <c r="D12" s="324"/>
      <c r="E12" s="324"/>
      <c r="F12" s="199"/>
      <c r="G12" s="200"/>
      <c r="H12" s="325"/>
      <c r="I12" s="325"/>
      <c r="J12" s="325"/>
      <c r="K12" s="325"/>
      <c r="L12" s="325"/>
    </row>
    <row r="13" spans="1:20" s="203" customFormat="1" ht="12.75" customHeight="1">
      <c r="A13" s="299" t="s">
        <v>591</v>
      </c>
      <c r="B13" s="297" t="s">
        <v>627</v>
      </c>
      <c r="C13" s="298"/>
      <c r="D13" s="202" t="s">
        <v>625</v>
      </c>
      <c r="E13" s="297" t="s">
        <v>629</v>
      </c>
      <c r="F13" s="303" t="s">
        <v>630</v>
      </c>
      <c r="G13" s="289" t="s">
        <v>626</v>
      </c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90"/>
    </row>
    <row r="14" spans="1:20" s="203" customFormat="1" ht="12.75">
      <c r="A14" s="300"/>
      <c r="B14" s="204" t="s">
        <v>637</v>
      </c>
      <c r="C14" s="205"/>
      <c r="D14" s="206" t="s">
        <v>628</v>
      </c>
      <c r="E14" s="302"/>
      <c r="F14" s="304"/>
      <c r="G14" s="207" t="s">
        <v>631</v>
      </c>
      <c r="H14" s="208"/>
      <c r="I14" s="208" t="s">
        <v>632</v>
      </c>
      <c r="J14" s="208"/>
      <c r="K14" s="208" t="s">
        <v>633</v>
      </c>
      <c r="L14" s="208"/>
      <c r="M14" s="208" t="s">
        <v>634</v>
      </c>
      <c r="N14" s="208"/>
      <c r="O14" s="208" t="s">
        <v>635</v>
      </c>
      <c r="P14" s="208"/>
      <c r="Q14" s="208" t="s">
        <v>636</v>
      </c>
      <c r="R14" s="208"/>
      <c r="S14" s="208" t="s">
        <v>672</v>
      </c>
      <c r="T14" s="209"/>
    </row>
    <row r="15" spans="1:20" s="203" customFormat="1" ht="12" customHeight="1">
      <c r="A15" s="301"/>
      <c r="B15" s="210"/>
      <c r="C15" s="212"/>
      <c r="D15" s="213" t="s">
        <v>638</v>
      </c>
      <c r="E15" s="214" t="s">
        <v>454</v>
      </c>
      <c r="F15" s="215"/>
      <c r="G15" s="207" t="s">
        <v>639</v>
      </c>
      <c r="H15" s="208" t="s">
        <v>640</v>
      </c>
      <c r="I15" s="208" t="s">
        <v>639</v>
      </c>
      <c r="J15" s="208" t="s">
        <v>640</v>
      </c>
      <c r="K15" s="208" t="s">
        <v>639</v>
      </c>
      <c r="L15" s="208" t="s">
        <v>640</v>
      </c>
      <c r="M15" s="208" t="s">
        <v>641</v>
      </c>
      <c r="N15" s="208" t="s">
        <v>642</v>
      </c>
      <c r="O15" s="208" t="s">
        <v>641</v>
      </c>
      <c r="P15" s="208" t="s">
        <v>642</v>
      </c>
      <c r="Q15" s="208" t="s">
        <v>641</v>
      </c>
      <c r="R15" s="208" t="s">
        <v>642</v>
      </c>
      <c r="S15" s="208" t="s">
        <v>639</v>
      </c>
      <c r="T15" s="209" t="s">
        <v>640</v>
      </c>
    </row>
    <row r="16" spans="1:20" s="203" customFormat="1" ht="17.25" customHeight="1">
      <c r="A16" s="305" t="s">
        <v>643</v>
      </c>
      <c r="B16" s="306" t="s">
        <v>3</v>
      </c>
      <c r="C16" s="306"/>
      <c r="D16" s="308">
        <f>orçamento!N23</f>
        <v>5192.61132</v>
      </c>
      <c r="E16" s="320">
        <f>D16/$D$55*100</f>
        <v>1.2765398938376347</v>
      </c>
      <c r="F16" s="216" t="s">
        <v>644</v>
      </c>
      <c r="G16" s="126">
        <v>100</v>
      </c>
      <c r="H16" s="126">
        <f>G16</f>
        <v>100</v>
      </c>
      <c r="I16" s="126"/>
      <c r="J16" s="126">
        <f>H16+I16</f>
        <v>100</v>
      </c>
      <c r="K16" s="126"/>
      <c r="L16" s="126">
        <f>J16+K16</f>
        <v>100</v>
      </c>
      <c r="M16" s="208"/>
      <c r="N16" s="208"/>
      <c r="O16" s="208"/>
      <c r="P16" s="208"/>
      <c r="Q16" s="208"/>
      <c r="R16" s="208"/>
      <c r="S16" s="126"/>
      <c r="T16" s="134">
        <f>S16+L16</f>
        <v>100</v>
      </c>
    </row>
    <row r="17" spans="1:20" s="203" customFormat="1" ht="17.25" customHeight="1">
      <c r="A17" s="305"/>
      <c r="B17" s="307"/>
      <c r="C17" s="307"/>
      <c r="D17" s="309"/>
      <c r="E17" s="321"/>
      <c r="F17" s="218" t="s">
        <v>645</v>
      </c>
      <c r="G17" s="126">
        <f>G16/100*D16</f>
        <v>5192.61132</v>
      </c>
      <c r="H17" s="126">
        <f>G17</f>
        <v>5192.61132</v>
      </c>
      <c r="I17" s="126"/>
      <c r="J17" s="126">
        <f>H17+I17</f>
        <v>5192.61132</v>
      </c>
      <c r="K17" s="126"/>
      <c r="L17" s="126">
        <f>J17+K17</f>
        <v>5192.61132</v>
      </c>
      <c r="M17" s="208"/>
      <c r="N17" s="208"/>
      <c r="O17" s="208"/>
      <c r="P17" s="208"/>
      <c r="Q17" s="208"/>
      <c r="R17" s="208"/>
      <c r="S17" s="126"/>
      <c r="T17" s="134">
        <f aca="true" t="shared" si="0" ref="T17:T51">S17+L17</f>
        <v>5192.61132</v>
      </c>
    </row>
    <row r="18" spans="1:20" s="203" customFormat="1" ht="17.25" customHeight="1">
      <c r="A18" s="305" t="s">
        <v>646</v>
      </c>
      <c r="B18" s="307" t="s">
        <v>25</v>
      </c>
      <c r="C18" s="307"/>
      <c r="D18" s="309">
        <f>'[2]ORÇAMENTO'!M36*(100%+$S$11)</f>
        <v>0</v>
      </c>
      <c r="E18" s="321">
        <f>D18/$D$55*100</f>
        <v>0</v>
      </c>
      <c r="F18" s="218" t="s">
        <v>644</v>
      </c>
      <c r="G18" s="126"/>
      <c r="H18" s="126"/>
      <c r="I18" s="126"/>
      <c r="J18" s="126"/>
      <c r="K18" s="126"/>
      <c r="L18" s="126"/>
      <c r="M18" s="208"/>
      <c r="N18" s="208"/>
      <c r="O18" s="208"/>
      <c r="P18" s="208"/>
      <c r="Q18" s="208"/>
      <c r="R18" s="208"/>
      <c r="S18" s="126"/>
      <c r="T18" s="134"/>
    </row>
    <row r="19" spans="1:20" s="203" customFormat="1" ht="17.25" customHeight="1">
      <c r="A19" s="305"/>
      <c r="B19" s="307"/>
      <c r="C19" s="307"/>
      <c r="D19" s="309"/>
      <c r="E19" s="321"/>
      <c r="F19" s="218" t="s">
        <v>645</v>
      </c>
      <c r="G19" s="126"/>
      <c r="H19" s="126"/>
      <c r="I19" s="126"/>
      <c r="J19" s="126"/>
      <c r="K19" s="126"/>
      <c r="L19" s="126"/>
      <c r="M19" s="208"/>
      <c r="N19" s="208"/>
      <c r="O19" s="208"/>
      <c r="P19" s="208"/>
      <c r="Q19" s="208"/>
      <c r="R19" s="208"/>
      <c r="S19" s="126"/>
      <c r="T19" s="134"/>
    </row>
    <row r="20" spans="1:20" s="203" customFormat="1" ht="17.25" customHeight="1">
      <c r="A20" s="305" t="s">
        <v>647</v>
      </c>
      <c r="B20" s="337" t="s">
        <v>648</v>
      </c>
      <c r="C20" s="337"/>
      <c r="D20" s="309">
        <f>'[2]ORÇAMENTO'!M46*(100%+$S$11)</f>
        <v>0</v>
      </c>
      <c r="E20" s="321">
        <f>D20/$D$55*100</f>
        <v>0</v>
      </c>
      <c r="F20" s="218" t="s">
        <v>644</v>
      </c>
      <c r="G20" s="126"/>
      <c r="H20" s="126"/>
      <c r="I20" s="127"/>
      <c r="J20" s="127"/>
      <c r="K20" s="127"/>
      <c r="L20" s="127"/>
      <c r="M20" s="208"/>
      <c r="N20" s="208"/>
      <c r="O20" s="208"/>
      <c r="P20" s="208"/>
      <c r="Q20" s="208"/>
      <c r="R20" s="208"/>
      <c r="S20" s="127"/>
      <c r="T20" s="134"/>
    </row>
    <row r="21" spans="1:20" s="203" customFormat="1" ht="17.25" customHeight="1">
      <c r="A21" s="305"/>
      <c r="B21" s="337"/>
      <c r="C21" s="337"/>
      <c r="D21" s="309"/>
      <c r="E21" s="321"/>
      <c r="F21" s="218" t="s">
        <v>645</v>
      </c>
      <c r="G21" s="126"/>
      <c r="H21" s="126"/>
      <c r="I21" s="126"/>
      <c r="J21" s="126"/>
      <c r="K21" s="126"/>
      <c r="L21" s="126"/>
      <c r="M21" s="208"/>
      <c r="N21" s="208"/>
      <c r="O21" s="208"/>
      <c r="P21" s="208"/>
      <c r="Q21" s="208"/>
      <c r="R21" s="208"/>
      <c r="S21" s="126"/>
      <c r="T21" s="134"/>
    </row>
    <row r="22" spans="1:20" s="203" customFormat="1" ht="17.25" customHeight="1">
      <c r="A22" s="305" t="s">
        <v>649</v>
      </c>
      <c r="B22" s="338" t="s">
        <v>650</v>
      </c>
      <c r="C22" s="338"/>
      <c r="D22" s="309">
        <f>orçamento!N52</f>
        <v>7280</v>
      </c>
      <c r="E22" s="321">
        <f>D22/$D$55*100</f>
        <v>1.7896988344465534</v>
      </c>
      <c r="F22" s="218" t="s">
        <v>644</v>
      </c>
      <c r="G22" s="126"/>
      <c r="H22" s="126"/>
      <c r="I22" s="132">
        <v>100</v>
      </c>
      <c r="J22" s="132">
        <f aca="true" t="shared" si="1" ref="J22:J29">H22+I22</f>
        <v>100</v>
      </c>
      <c r="K22" s="132"/>
      <c r="L22" s="132">
        <f aca="true" t="shared" si="2" ref="L22:L37">J22+K22</f>
        <v>100</v>
      </c>
      <c r="M22" s="208"/>
      <c r="N22" s="208"/>
      <c r="O22" s="208"/>
      <c r="P22" s="208"/>
      <c r="Q22" s="208"/>
      <c r="R22" s="208"/>
      <c r="S22" s="127"/>
      <c r="T22" s="134">
        <f t="shared" si="0"/>
        <v>100</v>
      </c>
    </row>
    <row r="23" spans="1:20" s="203" customFormat="1" ht="12" customHeight="1">
      <c r="A23" s="305"/>
      <c r="B23" s="338"/>
      <c r="C23" s="338"/>
      <c r="D23" s="309"/>
      <c r="E23" s="321"/>
      <c r="F23" s="218" t="s">
        <v>645</v>
      </c>
      <c r="G23" s="126"/>
      <c r="H23" s="126"/>
      <c r="I23" s="126">
        <f>I22*$D$22/100</f>
        <v>7280</v>
      </c>
      <c r="J23" s="126">
        <f t="shared" si="1"/>
        <v>7280</v>
      </c>
      <c r="K23" s="126"/>
      <c r="L23" s="126">
        <f t="shared" si="2"/>
        <v>7280</v>
      </c>
      <c r="M23" s="208"/>
      <c r="N23" s="208"/>
      <c r="O23" s="208"/>
      <c r="P23" s="208"/>
      <c r="Q23" s="208"/>
      <c r="R23" s="208"/>
      <c r="S23" s="126"/>
      <c r="T23" s="134">
        <f t="shared" si="0"/>
        <v>7280</v>
      </c>
    </row>
    <row r="24" spans="1:20" s="203" customFormat="1" ht="12" customHeight="1">
      <c r="A24" s="305" t="s">
        <v>651</v>
      </c>
      <c r="B24" s="337" t="s">
        <v>73</v>
      </c>
      <c r="C24" s="337"/>
      <c r="D24" s="309">
        <f>orçamento!N63</f>
        <v>18351.150999999998</v>
      </c>
      <c r="E24" s="321">
        <f>D24/$D$55*100</f>
        <v>4.5114057081665795</v>
      </c>
      <c r="F24" s="218" t="s">
        <v>644</v>
      </c>
      <c r="G24" s="131">
        <v>35</v>
      </c>
      <c r="H24" s="131">
        <f>G24</f>
        <v>35</v>
      </c>
      <c r="I24" s="131"/>
      <c r="J24" s="131">
        <f t="shared" si="1"/>
        <v>35</v>
      </c>
      <c r="K24" s="131">
        <v>65</v>
      </c>
      <c r="L24" s="131">
        <f t="shared" si="2"/>
        <v>100</v>
      </c>
      <c r="M24" s="208"/>
      <c r="N24" s="208"/>
      <c r="O24" s="208"/>
      <c r="P24" s="208"/>
      <c r="Q24" s="208"/>
      <c r="R24" s="208"/>
      <c r="S24" s="126"/>
      <c r="T24" s="134">
        <f t="shared" si="0"/>
        <v>100</v>
      </c>
    </row>
    <row r="25" spans="1:20" s="203" customFormat="1" ht="12" customHeight="1">
      <c r="A25" s="305"/>
      <c r="B25" s="337"/>
      <c r="C25" s="337"/>
      <c r="D25" s="309"/>
      <c r="E25" s="321"/>
      <c r="F25" s="218" t="s">
        <v>645</v>
      </c>
      <c r="G25" s="126">
        <f>G24*$D$24/100</f>
        <v>6422.9028499999995</v>
      </c>
      <c r="H25" s="126">
        <f>G25</f>
        <v>6422.9028499999995</v>
      </c>
      <c r="I25" s="126"/>
      <c r="J25" s="126">
        <f t="shared" si="1"/>
        <v>6422.9028499999995</v>
      </c>
      <c r="K25" s="126">
        <f>K24*$D$24/100</f>
        <v>11928.24815</v>
      </c>
      <c r="L25" s="126">
        <f t="shared" si="2"/>
        <v>18351.150999999998</v>
      </c>
      <c r="M25" s="208"/>
      <c r="N25" s="208"/>
      <c r="O25" s="208"/>
      <c r="P25" s="208"/>
      <c r="Q25" s="208"/>
      <c r="R25" s="208"/>
      <c r="S25" s="126"/>
      <c r="T25" s="134">
        <f t="shared" si="0"/>
        <v>18351.150999999998</v>
      </c>
    </row>
    <row r="26" spans="1:20" s="203" customFormat="1" ht="12" customHeight="1">
      <c r="A26" s="305" t="s">
        <v>652</v>
      </c>
      <c r="B26" s="337" t="s">
        <v>653</v>
      </c>
      <c r="C26" s="337"/>
      <c r="D26" s="309">
        <f>orçamento!N89</f>
        <v>68705.78</v>
      </c>
      <c r="E26" s="321">
        <f>D26/$D$55*100</f>
        <v>16.890474503535895</v>
      </c>
      <c r="F26" s="218" t="s">
        <v>644</v>
      </c>
      <c r="G26" s="132"/>
      <c r="H26" s="132"/>
      <c r="I26" s="133">
        <v>50</v>
      </c>
      <c r="J26" s="133">
        <f t="shared" si="1"/>
        <v>50</v>
      </c>
      <c r="K26" s="133">
        <v>50</v>
      </c>
      <c r="L26" s="133">
        <f t="shared" si="2"/>
        <v>100</v>
      </c>
      <c r="M26" s="208"/>
      <c r="N26" s="208"/>
      <c r="O26" s="208"/>
      <c r="P26" s="208"/>
      <c r="Q26" s="208"/>
      <c r="R26" s="208"/>
      <c r="S26" s="126"/>
      <c r="T26" s="134">
        <f t="shared" si="0"/>
        <v>100</v>
      </c>
    </row>
    <row r="27" spans="1:20" s="203" customFormat="1" ht="12" customHeight="1">
      <c r="A27" s="305"/>
      <c r="B27" s="337"/>
      <c r="C27" s="337"/>
      <c r="D27" s="309"/>
      <c r="E27" s="321"/>
      <c r="F27" s="218" t="s">
        <v>645</v>
      </c>
      <c r="G27" s="126"/>
      <c r="H27" s="126"/>
      <c r="I27" s="126">
        <f>I26*$D$26/100</f>
        <v>34352.89</v>
      </c>
      <c r="J27" s="126">
        <f t="shared" si="1"/>
        <v>34352.89</v>
      </c>
      <c r="K27" s="126">
        <f>K26*$D$26/100</f>
        <v>34352.89</v>
      </c>
      <c r="L27" s="126">
        <f t="shared" si="2"/>
        <v>68705.78</v>
      </c>
      <c r="M27" s="208"/>
      <c r="N27" s="208"/>
      <c r="O27" s="208"/>
      <c r="P27" s="208"/>
      <c r="Q27" s="208"/>
      <c r="R27" s="208"/>
      <c r="S27" s="126"/>
      <c r="T27" s="134">
        <f t="shared" si="0"/>
        <v>68705.78</v>
      </c>
    </row>
    <row r="28" spans="1:20" s="203" customFormat="1" ht="12" customHeight="1">
      <c r="A28" s="305" t="s">
        <v>654</v>
      </c>
      <c r="B28" s="338" t="s">
        <v>120</v>
      </c>
      <c r="C28" s="338"/>
      <c r="D28" s="309">
        <f>orçamento!N100</f>
        <v>1886.768</v>
      </c>
      <c r="E28" s="321">
        <f>D28/$D$55*100</f>
        <v>0.46383880363613395</v>
      </c>
      <c r="F28" s="218" t="s">
        <v>644</v>
      </c>
      <c r="G28" s="131">
        <v>100</v>
      </c>
      <c r="H28" s="131">
        <f aca="true" t="shared" si="3" ref="H28:H37">G28</f>
        <v>100</v>
      </c>
      <c r="I28" s="131"/>
      <c r="J28" s="131">
        <f t="shared" si="1"/>
        <v>100</v>
      </c>
      <c r="K28" s="131"/>
      <c r="L28" s="131">
        <f t="shared" si="2"/>
        <v>100</v>
      </c>
      <c r="M28" s="208"/>
      <c r="N28" s="208"/>
      <c r="O28" s="208"/>
      <c r="P28" s="208"/>
      <c r="Q28" s="208"/>
      <c r="R28" s="208"/>
      <c r="S28" s="126"/>
      <c r="T28" s="134">
        <f t="shared" si="0"/>
        <v>100</v>
      </c>
    </row>
    <row r="29" spans="1:20" s="203" customFormat="1" ht="12" customHeight="1">
      <c r="A29" s="305"/>
      <c r="B29" s="338"/>
      <c r="C29" s="338"/>
      <c r="D29" s="309"/>
      <c r="E29" s="321"/>
      <c r="F29" s="218" t="s">
        <v>645</v>
      </c>
      <c r="G29" s="126">
        <f>G28*$D$28/100</f>
        <v>1886.7679999999998</v>
      </c>
      <c r="H29" s="126">
        <f t="shared" si="3"/>
        <v>1886.7679999999998</v>
      </c>
      <c r="I29" s="126"/>
      <c r="J29" s="126">
        <f t="shared" si="1"/>
        <v>1886.7679999999998</v>
      </c>
      <c r="K29" s="126"/>
      <c r="L29" s="126">
        <f t="shared" si="2"/>
        <v>1886.7679999999998</v>
      </c>
      <c r="M29" s="208"/>
      <c r="N29" s="208"/>
      <c r="O29" s="208"/>
      <c r="P29" s="208"/>
      <c r="Q29" s="208"/>
      <c r="R29" s="208"/>
      <c r="S29" s="126"/>
      <c r="T29" s="134">
        <f t="shared" si="0"/>
        <v>1886.7679999999998</v>
      </c>
    </row>
    <row r="30" spans="1:20" s="203" customFormat="1" ht="12" customHeight="1">
      <c r="A30" s="305" t="s">
        <v>655</v>
      </c>
      <c r="B30" s="338" t="s">
        <v>138</v>
      </c>
      <c r="C30" s="338"/>
      <c r="D30" s="309">
        <f>orçamento!N109</f>
        <v>34440.3722</v>
      </c>
      <c r="E30" s="321">
        <f>D30/$D$55*100</f>
        <v>8.4667436791546</v>
      </c>
      <c r="F30" s="218" t="s">
        <v>644</v>
      </c>
      <c r="G30" s="132">
        <v>80</v>
      </c>
      <c r="H30" s="132">
        <f t="shared" si="3"/>
        <v>80</v>
      </c>
      <c r="I30" s="133">
        <v>20</v>
      </c>
      <c r="J30" s="133">
        <f>I30+H30</f>
        <v>100</v>
      </c>
      <c r="K30" s="133"/>
      <c r="L30" s="133">
        <f t="shared" si="2"/>
        <v>100</v>
      </c>
      <c r="M30" s="208"/>
      <c r="N30" s="208"/>
      <c r="O30" s="208"/>
      <c r="P30" s="208"/>
      <c r="Q30" s="208"/>
      <c r="R30" s="208"/>
      <c r="S30" s="126"/>
      <c r="T30" s="134">
        <f t="shared" si="0"/>
        <v>100</v>
      </c>
    </row>
    <row r="31" spans="1:20" s="203" customFormat="1" ht="12" customHeight="1">
      <c r="A31" s="305"/>
      <c r="B31" s="338"/>
      <c r="C31" s="338"/>
      <c r="D31" s="309"/>
      <c r="E31" s="321"/>
      <c r="F31" s="218" t="s">
        <v>645</v>
      </c>
      <c r="G31" s="126">
        <f>G30/100*$D$30</f>
        <v>27552.29776</v>
      </c>
      <c r="H31" s="126">
        <f t="shared" si="3"/>
        <v>27552.29776</v>
      </c>
      <c r="I31" s="126">
        <f>I30/100*$D$30</f>
        <v>6888.07444</v>
      </c>
      <c r="J31" s="126">
        <f>H31+I31</f>
        <v>34440.3722</v>
      </c>
      <c r="K31" s="126"/>
      <c r="L31" s="126">
        <f t="shared" si="2"/>
        <v>34440.3722</v>
      </c>
      <c r="M31" s="208"/>
      <c r="N31" s="208"/>
      <c r="O31" s="208"/>
      <c r="P31" s="208"/>
      <c r="Q31" s="208"/>
      <c r="R31" s="208"/>
      <c r="S31" s="126"/>
      <c r="T31" s="134">
        <f t="shared" si="0"/>
        <v>34440.3722</v>
      </c>
    </row>
    <row r="32" spans="1:20" s="203" customFormat="1" ht="12" customHeight="1">
      <c r="A32" s="305" t="s">
        <v>656</v>
      </c>
      <c r="B32" s="337" t="s">
        <v>151</v>
      </c>
      <c r="C32" s="337"/>
      <c r="D32" s="309">
        <f>orçamento!N117</f>
        <v>68966.742</v>
      </c>
      <c r="E32" s="321">
        <f>D32/$D$55*100</f>
        <v>16.954628814969254</v>
      </c>
      <c r="F32" s="218" t="s">
        <v>644</v>
      </c>
      <c r="G32" s="132">
        <v>25</v>
      </c>
      <c r="H32" s="132">
        <f t="shared" si="3"/>
        <v>25</v>
      </c>
      <c r="I32" s="133">
        <v>50</v>
      </c>
      <c r="J32" s="133">
        <f>I32+H32</f>
        <v>75</v>
      </c>
      <c r="K32" s="133">
        <v>25</v>
      </c>
      <c r="L32" s="133">
        <f t="shared" si="2"/>
        <v>100</v>
      </c>
      <c r="M32" s="208"/>
      <c r="N32" s="208"/>
      <c r="O32" s="208"/>
      <c r="P32" s="208"/>
      <c r="Q32" s="208"/>
      <c r="R32" s="208"/>
      <c r="S32" s="126"/>
      <c r="T32" s="134">
        <f t="shared" si="0"/>
        <v>100</v>
      </c>
    </row>
    <row r="33" spans="1:20" s="203" customFormat="1" ht="12" customHeight="1">
      <c r="A33" s="305"/>
      <c r="B33" s="337"/>
      <c r="C33" s="337"/>
      <c r="D33" s="309"/>
      <c r="E33" s="321"/>
      <c r="F33" s="218" t="s">
        <v>645</v>
      </c>
      <c r="G33" s="126">
        <f>G32/100*$D$32</f>
        <v>17241.6855</v>
      </c>
      <c r="H33" s="126">
        <f t="shared" si="3"/>
        <v>17241.6855</v>
      </c>
      <c r="I33" s="126">
        <f>I32/100*$D$32</f>
        <v>34483.371</v>
      </c>
      <c r="J33" s="126">
        <f>I33+H33</f>
        <v>51725.0565</v>
      </c>
      <c r="K33" s="126">
        <f>K32/100*$D$32</f>
        <v>17241.6855</v>
      </c>
      <c r="L33" s="126">
        <f t="shared" si="2"/>
        <v>68966.742</v>
      </c>
      <c r="M33" s="208"/>
      <c r="N33" s="208"/>
      <c r="O33" s="208"/>
      <c r="P33" s="208"/>
      <c r="Q33" s="208"/>
      <c r="R33" s="208"/>
      <c r="S33" s="126"/>
      <c r="T33" s="134">
        <f t="shared" si="0"/>
        <v>68966.742</v>
      </c>
    </row>
    <row r="34" spans="1:20" s="203" customFormat="1" ht="12" customHeight="1">
      <c r="A34" s="305" t="s">
        <v>657</v>
      </c>
      <c r="B34" s="337" t="s">
        <v>163</v>
      </c>
      <c r="C34" s="337"/>
      <c r="D34" s="309">
        <f>orçamento!N125</f>
        <v>59833.644</v>
      </c>
      <c r="E34" s="321">
        <f>D34/$D$55*100</f>
        <v>14.709368533995884</v>
      </c>
      <c r="F34" s="218" t="s">
        <v>644</v>
      </c>
      <c r="G34" s="132">
        <v>15</v>
      </c>
      <c r="H34" s="132">
        <f t="shared" si="3"/>
        <v>15</v>
      </c>
      <c r="I34" s="133">
        <v>25</v>
      </c>
      <c r="J34" s="133">
        <f>I34+H34</f>
        <v>40</v>
      </c>
      <c r="K34" s="133">
        <v>25</v>
      </c>
      <c r="L34" s="133">
        <f>K34+J34</f>
        <v>65</v>
      </c>
      <c r="M34" s="219"/>
      <c r="N34" s="219"/>
      <c r="O34" s="219"/>
      <c r="P34" s="219"/>
      <c r="Q34" s="219"/>
      <c r="R34" s="219"/>
      <c r="S34" s="133">
        <v>35</v>
      </c>
      <c r="T34" s="134">
        <f t="shared" si="0"/>
        <v>100</v>
      </c>
    </row>
    <row r="35" spans="1:20" s="203" customFormat="1" ht="12" customHeight="1">
      <c r="A35" s="305"/>
      <c r="B35" s="337"/>
      <c r="C35" s="337"/>
      <c r="D35" s="309"/>
      <c r="E35" s="321"/>
      <c r="F35" s="218" t="s">
        <v>645</v>
      </c>
      <c r="G35" s="126">
        <f>G34/100*$D$34</f>
        <v>8975.0466</v>
      </c>
      <c r="H35" s="126">
        <f t="shared" si="3"/>
        <v>8975.0466</v>
      </c>
      <c r="I35" s="126">
        <f>I34/100*$D$34</f>
        <v>14958.411</v>
      </c>
      <c r="J35" s="126">
        <f>I35+H35</f>
        <v>23933.4576</v>
      </c>
      <c r="K35" s="126">
        <f>K34/100*$D$34</f>
        <v>14958.411</v>
      </c>
      <c r="L35" s="126">
        <f t="shared" si="2"/>
        <v>38891.8686</v>
      </c>
      <c r="M35" s="208"/>
      <c r="N35" s="208"/>
      <c r="O35" s="208"/>
      <c r="P35" s="208"/>
      <c r="Q35" s="208"/>
      <c r="R35" s="208"/>
      <c r="S35" s="126">
        <f>S34/100*$D$34</f>
        <v>20941.7754</v>
      </c>
      <c r="T35" s="134">
        <f t="shared" si="0"/>
        <v>59833.644</v>
      </c>
    </row>
    <row r="36" spans="1:20" s="203" customFormat="1" ht="12" customHeight="1">
      <c r="A36" s="305" t="s">
        <v>658</v>
      </c>
      <c r="B36" s="338" t="s">
        <v>659</v>
      </c>
      <c r="C36" s="338"/>
      <c r="D36" s="309">
        <f>orçamento!N209</f>
        <v>43585.8241</v>
      </c>
      <c r="E36" s="321">
        <f>D36/$D$55*100</f>
        <v>10.715041015132213</v>
      </c>
      <c r="F36" s="218" t="s">
        <v>644</v>
      </c>
      <c r="G36" s="132">
        <v>40</v>
      </c>
      <c r="H36" s="132">
        <f t="shared" si="3"/>
        <v>40</v>
      </c>
      <c r="I36" s="132">
        <v>40</v>
      </c>
      <c r="J36" s="132">
        <f>H36+I36</f>
        <v>80</v>
      </c>
      <c r="K36" s="132">
        <v>20</v>
      </c>
      <c r="L36" s="132">
        <f t="shared" si="2"/>
        <v>100</v>
      </c>
      <c r="M36" s="219"/>
      <c r="N36" s="219"/>
      <c r="O36" s="219"/>
      <c r="P36" s="219"/>
      <c r="Q36" s="219"/>
      <c r="R36" s="219"/>
      <c r="S36" s="132"/>
      <c r="T36" s="134">
        <f t="shared" si="0"/>
        <v>100</v>
      </c>
    </row>
    <row r="37" spans="1:20" s="203" customFormat="1" ht="12" customHeight="1">
      <c r="A37" s="305"/>
      <c r="B37" s="338"/>
      <c r="C37" s="338"/>
      <c r="D37" s="309"/>
      <c r="E37" s="321"/>
      <c r="F37" s="218" t="s">
        <v>645</v>
      </c>
      <c r="G37" s="126">
        <f>G36*$D$36/100</f>
        <v>17434.32964</v>
      </c>
      <c r="H37" s="126">
        <f t="shared" si="3"/>
        <v>17434.32964</v>
      </c>
      <c r="I37" s="126">
        <f>I36*$D$36/100</f>
        <v>17434.32964</v>
      </c>
      <c r="J37" s="126">
        <f>H37+I37</f>
        <v>34868.65928</v>
      </c>
      <c r="K37" s="126">
        <f>K36*$D$36/100</f>
        <v>8717.16482</v>
      </c>
      <c r="L37" s="126">
        <f t="shared" si="2"/>
        <v>43585.8241</v>
      </c>
      <c r="M37" s="208"/>
      <c r="N37" s="208"/>
      <c r="O37" s="208"/>
      <c r="P37" s="208"/>
      <c r="Q37" s="208"/>
      <c r="R37" s="208"/>
      <c r="S37" s="126"/>
      <c r="T37" s="134">
        <f t="shared" si="0"/>
        <v>43585.8241</v>
      </c>
    </row>
    <row r="38" spans="1:20" s="203" customFormat="1" ht="12" customHeight="1">
      <c r="A38" s="305" t="s">
        <v>660</v>
      </c>
      <c r="B38" s="338" t="s">
        <v>661</v>
      </c>
      <c r="C38" s="338"/>
      <c r="D38" s="309"/>
      <c r="E38" s="321"/>
      <c r="F38" s="218" t="s">
        <v>644</v>
      </c>
      <c r="G38" s="127"/>
      <c r="H38" s="127"/>
      <c r="I38" s="126"/>
      <c r="J38" s="126"/>
      <c r="K38" s="126"/>
      <c r="L38" s="126"/>
      <c r="M38" s="208"/>
      <c r="N38" s="208"/>
      <c r="O38" s="208"/>
      <c r="P38" s="208"/>
      <c r="Q38" s="208"/>
      <c r="R38" s="208"/>
      <c r="S38" s="126"/>
      <c r="T38" s="134"/>
    </row>
    <row r="39" spans="1:20" s="203" customFormat="1" ht="12" customHeight="1">
      <c r="A39" s="305"/>
      <c r="B39" s="338"/>
      <c r="C39" s="338"/>
      <c r="D39" s="309"/>
      <c r="E39" s="321"/>
      <c r="F39" s="218" t="s">
        <v>645</v>
      </c>
      <c r="G39" s="127"/>
      <c r="H39" s="127"/>
      <c r="I39" s="126"/>
      <c r="J39" s="126"/>
      <c r="K39" s="126"/>
      <c r="L39" s="126"/>
      <c r="M39" s="208"/>
      <c r="N39" s="208"/>
      <c r="O39" s="208"/>
      <c r="P39" s="208"/>
      <c r="Q39" s="208"/>
      <c r="R39" s="208"/>
      <c r="S39" s="126"/>
      <c r="T39" s="134"/>
    </row>
    <row r="40" spans="1:20" s="203" customFormat="1" ht="12" customHeight="1">
      <c r="A40" s="305" t="s">
        <v>323</v>
      </c>
      <c r="B40" s="338" t="s">
        <v>662</v>
      </c>
      <c r="C40" s="338"/>
      <c r="D40" s="309">
        <f>orçamento!N239</f>
        <v>10743.044</v>
      </c>
      <c r="E40" s="321">
        <f>D40/$D$55*100</f>
        <v>2.641045786429676</v>
      </c>
      <c r="F40" s="218" t="s">
        <v>644</v>
      </c>
      <c r="G40" s="132">
        <v>100</v>
      </c>
      <c r="H40" s="132">
        <f aca="true" t="shared" si="4" ref="H40:H45">G40</f>
        <v>100</v>
      </c>
      <c r="I40" s="133"/>
      <c r="J40" s="133">
        <f>H40+I40</f>
        <v>100</v>
      </c>
      <c r="K40" s="133"/>
      <c r="L40" s="133">
        <f aca="true" t="shared" si="5" ref="L40:L49">K40+J40</f>
        <v>100</v>
      </c>
      <c r="M40" s="219"/>
      <c r="N40" s="219"/>
      <c r="O40" s="219"/>
      <c r="P40" s="219"/>
      <c r="Q40" s="219"/>
      <c r="R40" s="219"/>
      <c r="S40" s="133"/>
      <c r="T40" s="134">
        <f t="shared" si="0"/>
        <v>100</v>
      </c>
    </row>
    <row r="41" spans="1:20" s="203" customFormat="1" ht="12" customHeight="1">
      <c r="A41" s="305"/>
      <c r="B41" s="338"/>
      <c r="C41" s="338"/>
      <c r="D41" s="309"/>
      <c r="E41" s="321"/>
      <c r="F41" s="218" t="s">
        <v>645</v>
      </c>
      <c r="G41" s="126">
        <f>G40/100*$D$40</f>
        <v>10743.044</v>
      </c>
      <c r="H41" s="126">
        <f t="shared" si="4"/>
        <v>10743.044</v>
      </c>
      <c r="I41" s="126"/>
      <c r="J41" s="126">
        <f>J40/100*$D$40</f>
        <v>10743.044</v>
      </c>
      <c r="K41" s="126"/>
      <c r="L41" s="126">
        <f t="shared" si="5"/>
        <v>10743.044</v>
      </c>
      <c r="M41" s="208"/>
      <c r="N41" s="208"/>
      <c r="O41" s="208"/>
      <c r="P41" s="208"/>
      <c r="Q41" s="208"/>
      <c r="R41" s="208"/>
      <c r="S41" s="126"/>
      <c r="T41" s="134">
        <f t="shared" si="0"/>
        <v>10743.044</v>
      </c>
    </row>
    <row r="42" spans="1:20" s="203" customFormat="1" ht="12" customHeight="1">
      <c r="A42" s="305" t="s">
        <v>370</v>
      </c>
      <c r="B42" s="338" t="s">
        <v>663</v>
      </c>
      <c r="C42" s="338"/>
      <c r="D42" s="309">
        <f>orçamento!N252</f>
        <v>11810.084000000003</v>
      </c>
      <c r="E42" s="321">
        <f>D42/$D$55*100</f>
        <v>2.9033645013071285</v>
      </c>
      <c r="F42" s="218" t="s">
        <v>644</v>
      </c>
      <c r="G42" s="132">
        <v>50</v>
      </c>
      <c r="H42" s="132">
        <f t="shared" si="4"/>
        <v>50</v>
      </c>
      <c r="I42" s="133"/>
      <c r="J42" s="133">
        <f>I42+H42</f>
        <v>50</v>
      </c>
      <c r="K42" s="133">
        <v>50</v>
      </c>
      <c r="L42" s="133">
        <f t="shared" si="5"/>
        <v>100</v>
      </c>
      <c r="M42" s="219"/>
      <c r="N42" s="219"/>
      <c r="O42" s="219"/>
      <c r="P42" s="219"/>
      <c r="Q42" s="219"/>
      <c r="R42" s="219"/>
      <c r="S42" s="133"/>
      <c r="T42" s="134">
        <f t="shared" si="0"/>
        <v>100</v>
      </c>
    </row>
    <row r="43" spans="1:20" s="203" customFormat="1" ht="12" customHeight="1">
      <c r="A43" s="305"/>
      <c r="B43" s="338"/>
      <c r="C43" s="338"/>
      <c r="D43" s="309"/>
      <c r="E43" s="321"/>
      <c r="F43" s="218" t="s">
        <v>645</v>
      </c>
      <c r="G43" s="126">
        <f>G42/100*$D$42</f>
        <v>5905.042000000001</v>
      </c>
      <c r="H43" s="126">
        <f t="shared" si="4"/>
        <v>5905.042000000001</v>
      </c>
      <c r="I43" s="126"/>
      <c r="J43" s="126">
        <f>I43+H43</f>
        <v>5905.042000000001</v>
      </c>
      <c r="K43" s="126">
        <f>K42/100*$D$42</f>
        <v>5905.042000000001</v>
      </c>
      <c r="L43" s="126">
        <f t="shared" si="5"/>
        <v>11810.084000000003</v>
      </c>
      <c r="M43" s="208"/>
      <c r="N43" s="208"/>
      <c r="O43" s="208"/>
      <c r="P43" s="208"/>
      <c r="Q43" s="208"/>
      <c r="R43" s="208"/>
      <c r="S43" s="126"/>
      <c r="T43" s="134">
        <f t="shared" si="0"/>
        <v>11810.084000000003</v>
      </c>
    </row>
    <row r="44" spans="1:20" s="203" customFormat="1" ht="12" customHeight="1">
      <c r="A44" s="305" t="s">
        <v>392</v>
      </c>
      <c r="B44" s="338" t="s">
        <v>664</v>
      </c>
      <c r="C44" s="338"/>
      <c r="D44" s="309">
        <f>orçamento!N272</f>
        <v>19612.229</v>
      </c>
      <c r="E44" s="321">
        <f>D44/$D$55*100</f>
        <v>4.821426288763584</v>
      </c>
      <c r="F44" s="218" t="s">
        <v>644</v>
      </c>
      <c r="G44" s="132">
        <v>10</v>
      </c>
      <c r="H44" s="132">
        <f t="shared" si="4"/>
        <v>10</v>
      </c>
      <c r="I44" s="133"/>
      <c r="J44" s="133">
        <f>I44+H44</f>
        <v>10</v>
      </c>
      <c r="K44" s="133">
        <v>10.632</v>
      </c>
      <c r="L44" s="133">
        <f t="shared" si="5"/>
        <v>20.631999999999998</v>
      </c>
      <c r="M44" s="219"/>
      <c r="N44" s="219"/>
      <c r="O44" s="219"/>
      <c r="P44" s="219"/>
      <c r="Q44" s="219"/>
      <c r="R44" s="219"/>
      <c r="S44" s="133">
        <f>100-L44</f>
        <v>79.368</v>
      </c>
      <c r="T44" s="134">
        <f t="shared" si="0"/>
        <v>100</v>
      </c>
    </row>
    <row r="45" spans="1:20" s="203" customFormat="1" ht="12" customHeight="1">
      <c r="A45" s="305"/>
      <c r="B45" s="338"/>
      <c r="C45" s="338"/>
      <c r="D45" s="309"/>
      <c r="E45" s="321"/>
      <c r="F45" s="218" t="s">
        <v>645</v>
      </c>
      <c r="G45" s="126">
        <f>G44*$D$44/100</f>
        <v>1961.2228999999998</v>
      </c>
      <c r="H45" s="127">
        <f t="shared" si="4"/>
        <v>1961.2228999999998</v>
      </c>
      <c r="I45" s="126"/>
      <c r="J45" s="126">
        <f>I45+H45</f>
        <v>1961.2228999999998</v>
      </c>
      <c r="K45" s="126">
        <f>K44*$D$44/100</f>
        <v>2085.17218728</v>
      </c>
      <c r="L45" s="126">
        <f t="shared" si="5"/>
        <v>4046.3950872799996</v>
      </c>
      <c r="M45" s="208"/>
      <c r="N45" s="208"/>
      <c r="O45" s="208"/>
      <c r="P45" s="208"/>
      <c r="Q45" s="208"/>
      <c r="R45" s="208"/>
      <c r="S45" s="126">
        <f>S44*$D$44/100</f>
        <v>15565.833912719998</v>
      </c>
      <c r="T45" s="134">
        <f t="shared" si="0"/>
        <v>19612.229</v>
      </c>
    </row>
    <row r="46" spans="1:20" s="203" customFormat="1" ht="12" customHeight="1">
      <c r="A46" s="305" t="s">
        <v>665</v>
      </c>
      <c r="B46" s="338" t="s">
        <v>666</v>
      </c>
      <c r="C46" s="338"/>
      <c r="D46" s="309">
        <f>orçamento!N284</f>
        <v>1803.9840000000002</v>
      </c>
      <c r="E46" s="321">
        <f>D46/$D$55*100</f>
        <v>0.44348737117585596</v>
      </c>
      <c r="F46" s="218" t="s">
        <v>644</v>
      </c>
      <c r="G46" s="127"/>
      <c r="H46" s="127"/>
      <c r="I46" s="126"/>
      <c r="J46" s="126"/>
      <c r="K46" s="126"/>
      <c r="L46" s="126"/>
      <c r="M46" s="208"/>
      <c r="N46" s="208"/>
      <c r="O46" s="208"/>
      <c r="P46" s="208"/>
      <c r="Q46" s="208"/>
      <c r="R46" s="208"/>
      <c r="S46" s="131">
        <v>100</v>
      </c>
      <c r="T46" s="134">
        <f t="shared" si="0"/>
        <v>100</v>
      </c>
    </row>
    <row r="47" spans="1:20" s="203" customFormat="1" ht="12" customHeight="1">
      <c r="A47" s="305"/>
      <c r="B47" s="338"/>
      <c r="C47" s="338"/>
      <c r="D47" s="309"/>
      <c r="E47" s="321"/>
      <c r="F47" s="218" t="s">
        <v>645</v>
      </c>
      <c r="G47" s="127"/>
      <c r="H47" s="127"/>
      <c r="I47" s="126"/>
      <c r="J47" s="126"/>
      <c r="K47" s="126"/>
      <c r="L47" s="126"/>
      <c r="M47" s="208"/>
      <c r="N47" s="208"/>
      <c r="O47" s="208"/>
      <c r="P47" s="208"/>
      <c r="Q47" s="208"/>
      <c r="R47" s="208"/>
      <c r="S47" s="126">
        <f>S46/100*$D$46</f>
        <v>1803.9840000000002</v>
      </c>
      <c r="T47" s="134">
        <f t="shared" si="0"/>
        <v>1803.9840000000002</v>
      </c>
    </row>
    <row r="48" spans="1:20" s="203" customFormat="1" ht="12" customHeight="1">
      <c r="A48" s="305" t="s">
        <v>667</v>
      </c>
      <c r="B48" s="339" t="s">
        <v>431</v>
      </c>
      <c r="C48" s="339"/>
      <c r="D48" s="309">
        <f>orçamento!N298</f>
        <v>50521.172</v>
      </c>
      <c r="E48" s="321">
        <f>D48/$D$55*100</f>
        <v>12.420011352098058</v>
      </c>
      <c r="F48" s="218" t="s">
        <v>644</v>
      </c>
      <c r="G48" s="127"/>
      <c r="H48" s="126"/>
      <c r="I48" s="126"/>
      <c r="J48" s="126"/>
      <c r="K48" s="126">
        <v>40</v>
      </c>
      <c r="L48" s="126">
        <f t="shared" si="5"/>
        <v>40</v>
      </c>
      <c r="M48" s="208"/>
      <c r="N48" s="208"/>
      <c r="O48" s="208"/>
      <c r="P48" s="208"/>
      <c r="Q48" s="208"/>
      <c r="R48" s="208"/>
      <c r="S48" s="131">
        <v>60</v>
      </c>
      <c r="T48" s="134">
        <f t="shared" si="0"/>
        <v>100</v>
      </c>
    </row>
    <row r="49" spans="1:20" s="203" customFormat="1" ht="12" customHeight="1">
      <c r="A49" s="305"/>
      <c r="B49" s="339"/>
      <c r="C49" s="339"/>
      <c r="D49" s="309"/>
      <c r="E49" s="321"/>
      <c r="F49" s="218" t="s">
        <v>645</v>
      </c>
      <c r="G49" s="126"/>
      <c r="H49" s="126"/>
      <c r="I49" s="126"/>
      <c r="J49" s="126"/>
      <c r="K49" s="126">
        <f>K48/100*$D$48</f>
        <v>20208.468800000002</v>
      </c>
      <c r="L49" s="126">
        <f t="shared" si="5"/>
        <v>20208.468800000002</v>
      </c>
      <c r="M49" s="208"/>
      <c r="N49" s="208"/>
      <c r="O49" s="208"/>
      <c r="P49" s="208"/>
      <c r="Q49" s="208"/>
      <c r="R49" s="208"/>
      <c r="S49" s="126">
        <f>S48/100*$D$48</f>
        <v>30312.703199999996</v>
      </c>
      <c r="T49" s="134">
        <f t="shared" si="0"/>
        <v>50521.172</v>
      </c>
    </row>
    <row r="50" spans="1:20" s="203" customFormat="1" ht="12" customHeight="1">
      <c r="A50" s="305" t="s">
        <v>668</v>
      </c>
      <c r="B50" s="339" t="s">
        <v>449</v>
      </c>
      <c r="C50" s="339"/>
      <c r="D50" s="309">
        <f>orçamento!N302</f>
        <v>4038.9440000000004</v>
      </c>
      <c r="E50" s="321">
        <f>D50/$D$55*100</f>
        <v>0.992924913350948</v>
      </c>
      <c r="F50" s="218" t="s">
        <v>644</v>
      </c>
      <c r="G50" s="127"/>
      <c r="H50" s="127"/>
      <c r="I50" s="126"/>
      <c r="J50" s="126"/>
      <c r="K50" s="126"/>
      <c r="L50" s="126"/>
      <c r="M50" s="208"/>
      <c r="N50" s="208"/>
      <c r="O50" s="208"/>
      <c r="P50" s="208"/>
      <c r="Q50" s="208"/>
      <c r="R50" s="208"/>
      <c r="S50" s="131">
        <v>100</v>
      </c>
      <c r="T50" s="134">
        <f t="shared" si="0"/>
        <v>100</v>
      </c>
    </row>
    <row r="51" spans="1:20" s="203" customFormat="1" ht="12" customHeight="1">
      <c r="A51" s="305"/>
      <c r="B51" s="339"/>
      <c r="C51" s="339"/>
      <c r="D51" s="309"/>
      <c r="E51" s="321"/>
      <c r="F51" s="218" t="s">
        <v>645</v>
      </c>
      <c r="G51" s="127"/>
      <c r="H51" s="127"/>
      <c r="I51" s="126"/>
      <c r="J51" s="126"/>
      <c r="K51" s="126"/>
      <c r="L51" s="126"/>
      <c r="M51" s="208"/>
      <c r="N51" s="208"/>
      <c r="O51" s="208"/>
      <c r="P51" s="208"/>
      <c r="Q51" s="208"/>
      <c r="R51" s="208"/>
      <c r="S51" s="126">
        <f>S50*$D$50/100</f>
        <v>4038.9440000000004</v>
      </c>
      <c r="T51" s="134">
        <f t="shared" si="0"/>
        <v>4038.9440000000004</v>
      </c>
    </row>
    <row r="52" spans="1:20" s="203" customFormat="1" ht="6" customHeight="1">
      <c r="A52" s="291"/>
      <c r="B52" s="292"/>
      <c r="C52" s="293"/>
      <c r="D52" s="220"/>
      <c r="E52" s="217"/>
      <c r="F52" s="217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2"/>
    </row>
    <row r="53" spans="1:20" s="203" customFormat="1" ht="18" customHeight="1">
      <c r="A53" s="341" t="s">
        <v>669</v>
      </c>
      <c r="B53" s="342"/>
      <c r="C53" s="342"/>
      <c r="D53" s="223"/>
      <c r="E53" s="224">
        <f>SUM(E16:E51)</f>
        <v>100</v>
      </c>
      <c r="F53" s="224"/>
      <c r="G53" s="225">
        <f>G55/$D$55</f>
        <v>0.2539871519450993</v>
      </c>
      <c r="H53" s="226">
        <f>G53</f>
        <v>0.2539871519450993</v>
      </c>
      <c r="I53" s="225">
        <f>I55/$D$55</f>
        <v>0.28368957769081904</v>
      </c>
      <c r="J53" s="226">
        <f>I53+H53</f>
        <v>0.5376767296359184</v>
      </c>
      <c r="K53" s="225">
        <f>K55/$D$55</f>
        <v>0.28368959336858085</v>
      </c>
      <c r="L53" s="226">
        <f>K53+J53</f>
        <v>0.8213663230044992</v>
      </c>
      <c r="M53" s="227" t="e">
        <f>(#REF!*#REF!+#REF!*#REF!)/100</f>
        <v>#REF!</v>
      </c>
      <c r="N53" s="228" t="e">
        <f>(M53+K53)/H53</f>
        <v>#REF!</v>
      </c>
      <c r="O53" s="227" t="e">
        <f>(#REF!*#REF!+#REF!*#REF!)/100</f>
        <v>#REF!</v>
      </c>
      <c r="P53" s="228" t="e">
        <f>O53/L53</f>
        <v>#REF!</v>
      </c>
      <c r="Q53" s="227" t="e">
        <f>(#REF!*#REF!+#REF!*#REF!)/100</f>
        <v>#REF!</v>
      </c>
      <c r="R53" s="228" t="e">
        <f>(Q53+O53)/L53</f>
        <v>#REF!</v>
      </c>
      <c r="S53" s="225">
        <f>S55/$D$55</f>
        <v>0.1786336769955008</v>
      </c>
      <c r="T53" s="229">
        <f>S53+L53</f>
        <v>1</v>
      </c>
    </row>
    <row r="54" spans="1:20" s="203" customFormat="1" ht="5.25" customHeight="1">
      <c r="A54" s="294"/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6"/>
    </row>
    <row r="55" spans="1:20" s="203" customFormat="1" ht="18" customHeight="1" thickBot="1">
      <c r="A55" s="343" t="s">
        <v>670</v>
      </c>
      <c r="B55" s="344"/>
      <c r="C55" s="344"/>
      <c r="D55" s="230">
        <f>SUM(D16:D51)</f>
        <v>406772.34962</v>
      </c>
      <c r="E55" s="231"/>
      <c r="F55" s="231"/>
      <c r="G55" s="232">
        <f>G17+G19+G21+G23+G25+G27+G29+G31+G33+G35+G37+G41+G43+G45+G47+G49+G51</f>
        <v>103314.95056999999</v>
      </c>
      <c r="H55" s="232">
        <f>G55</f>
        <v>103314.95056999999</v>
      </c>
      <c r="I55" s="232">
        <f>I17+I19+I21+I23+I25+I27+I29+I31+I33+I35+I37+I41+I43+I45+I47+I49+I51</f>
        <v>115397.07607999998</v>
      </c>
      <c r="J55" s="232">
        <f>I55+H55</f>
        <v>218712.02664999996</v>
      </c>
      <c r="K55" s="232">
        <f>K17+K19+K21+K23+K25+K27+K29+K31+K33+K35+K37+K41+K43+K45+K47+K49+K51</f>
        <v>115397.08245728</v>
      </c>
      <c r="L55" s="232">
        <f>K55+J55</f>
        <v>334109.10910728</v>
      </c>
      <c r="M55" s="340" t="e">
        <f>M53</f>
        <v>#REF!</v>
      </c>
      <c r="N55" s="340"/>
      <c r="O55" s="340" t="e">
        <f>O53</f>
        <v>#REF!</v>
      </c>
      <c r="P55" s="340"/>
      <c r="Q55" s="340" t="e">
        <f>Q53</f>
        <v>#REF!</v>
      </c>
      <c r="R55" s="340"/>
      <c r="S55" s="232">
        <f>S17+S19+S21+S23+S25+S27+S29+S31+S33+S35+S37+S41+S43+S45+S47+S49+S51</f>
        <v>72663.24051272</v>
      </c>
      <c r="T55" s="233">
        <f>S55+L55</f>
        <v>406772.34962</v>
      </c>
    </row>
    <row r="56" spans="1:10" ht="10.5" customHeight="1">
      <c r="A56" s="234"/>
      <c r="B56" s="234"/>
      <c r="C56" s="234"/>
      <c r="D56" s="234"/>
      <c r="E56" s="235"/>
      <c r="F56" s="235"/>
      <c r="G56" s="234"/>
      <c r="H56" s="234"/>
      <c r="I56" s="234"/>
      <c r="J56" s="234"/>
    </row>
    <row r="57" spans="1:10" ht="10.5" customHeight="1">
      <c r="A57" s="234"/>
      <c r="B57" s="234"/>
      <c r="C57" s="234"/>
      <c r="D57" s="234"/>
      <c r="E57" s="235"/>
      <c r="F57" s="235"/>
      <c r="G57" s="234"/>
      <c r="H57" s="234"/>
      <c r="I57" s="234"/>
      <c r="J57" s="234"/>
    </row>
    <row r="58" spans="1:10" ht="10.5" customHeight="1">
      <c r="A58" s="234"/>
      <c r="B58" s="234"/>
      <c r="C58" s="234"/>
      <c r="D58" s="234"/>
      <c r="E58" s="235"/>
      <c r="F58" s="235"/>
      <c r="G58" s="234"/>
      <c r="H58" s="234"/>
      <c r="I58" s="234"/>
      <c r="J58" s="234"/>
    </row>
    <row r="59" spans="1:10" ht="10.5" customHeight="1">
      <c r="A59" s="234"/>
      <c r="B59" s="234"/>
      <c r="C59" s="234"/>
      <c r="D59" s="234"/>
      <c r="E59" s="235"/>
      <c r="F59" s="235"/>
      <c r="G59" s="234"/>
      <c r="H59" s="234"/>
      <c r="I59" s="234"/>
      <c r="J59" s="234"/>
    </row>
  </sheetData>
  <sheetProtection password="F751" sheet="1" objects="1" scenarios="1"/>
  <mergeCells count="101">
    <mergeCell ref="A50:A51"/>
    <mergeCell ref="B50:C51"/>
    <mergeCell ref="D50:D51"/>
    <mergeCell ref="E50:E51"/>
    <mergeCell ref="Q55:R55"/>
    <mergeCell ref="A53:C53"/>
    <mergeCell ref="A55:C55"/>
    <mergeCell ref="M55:N55"/>
    <mergeCell ref="O55:P55"/>
    <mergeCell ref="A46:A47"/>
    <mergeCell ref="B46:C47"/>
    <mergeCell ref="D46:D47"/>
    <mergeCell ref="E46:E47"/>
    <mergeCell ref="A48:A49"/>
    <mergeCell ref="B48:C49"/>
    <mergeCell ref="D48:D49"/>
    <mergeCell ref="E48:E49"/>
    <mergeCell ref="A42:A43"/>
    <mergeCell ref="B42:C43"/>
    <mergeCell ref="D42:D43"/>
    <mergeCell ref="E42:E43"/>
    <mergeCell ref="A44:A45"/>
    <mergeCell ref="B44:C45"/>
    <mergeCell ref="D44:D45"/>
    <mergeCell ref="E44:E45"/>
    <mergeCell ref="A38:A39"/>
    <mergeCell ref="B38:C39"/>
    <mergeCell ref="D38:D39"/>
    <mergeCell ref="E38:E39"/>
    <mergeCell ref="A40:A41"/>
    <mergeCell ref="B40:C41"/>
    <mergeCell ref="D40:D41"/>
    <mergeCell ref="E40:E41"/>
    <mergeCell ref="A34:A35"/>
    <mergeCell ref="B34:C35"/>
    <mergeCell ref="D34:D35"/>
    <mergeCell ref="E34:E35"/>
    <mergeCell ref="A36:A37"/>
    <mergeCell ref="B36:C37"/>
    <mergeCell ref="D36:D37"/>
    <mergeCell ref="E36:E37"/>
    <mergeCell ref="A30:A31"/>
    <mergeCell ref="B30:C31"/>
    <mergeCell ref="D30:D31"/>
    <mergeCell ref="E30:E31"/>
    <mergeCell ref="A32:A33"/>
    <mergeCell ref="B32:C33"/>
    <mergeCell ref="D32:D33"/>
    <mergeCell ref="E32:E33"/>
    <mergeCell ref="A26:A27"/>
    <mergeCell ref="B26:C27"/>
    <mergeCell ref="D26:D27"/>
    <mergeCell ref="E26:E27"/>
    <mergeCell ref="A28:A29"/>
    <mergeCell ref="B28:C29"/>
    <mergeCell ref="D28:D29"/>
    <mergeCell ref="E28:E29"/>
    <mergeCell ref="A22:A23"/>
    <mergeCell ref="B22:C23"/>
    <mergeCell ref="D22:D23"/>
    <mergeCell ref="E22:E23"/>
    <mergeCell ref="A24:A25"/>
    <mergeCell ref="B24:C25"/>
    <mergeCell ref="D24:D25"/>
    <mergeCell ref="E24:E25"/>
    <mergeCell ref="A18:A19"/>
    <mergeCell ref="B18:C19"/>
    <mergeCell ref="D18:D19"/>
    <mergeCell ref="E18:E19"/>
    <mergeCell ref="A20:A21"/>
    <mergeCell ref="B20:C21"/>
    <mergeCell ref="D20:D21"/>
    <mergeCell ref="E20:E21"/>
    <mergeCell ref="E16:E17"/>
    <mergeCell ref="J9:S9"/>
    <mergeCell ref="A12:E12"/>
    <mergeCell ref="H12:L12"/>
    <mergeCell ref="A10:F10"/>
    <mergeCell ref="H10:I10"/>
    <mergeCell ref="A11:E11"/>
    <mergeCell ref="G11:H11"/>
    <mergeCell ref="K11:L11"/>
    <mergeCell ref="S11:T11"/>
    <mergeCell ref="K6:T6"/>
    <mergeCell ref="A6:J6"/>
    <mergeCell ref="A7:T7"/>
    <mergeCell ref="A8:T8"/>
    <mergeCell ref="A5:I5"/>
    <mergeCell ref="A1:T1"/>
    <mergeCell ref="A2:T2"/>
    <mergeCell ref="A4:T4"/>
    <mergeCell ref="G13:T13"/>
    <mergeCell ref="A52:C52"/>
    <mergeCell ref="A54:T54"/>
    <mergeCell ref="B13:C13"/>
    <mergeCell ref="A13:A15"/>
    <mergeCell ref="E13:E14"/>
    <mergeCell ref="F13:F14"/>
    <mergeCell ref="A16:A17"/>
    <mergeCell ref="B16:C17"/>
    <mergeCell ref="D16:D17"/>
  </mergeCells>
  <printOptions horizontalCentered="1"/>
  <pageMargins left="0.1968503937007874" right="0.1968503937007874" top="0.7874015748031497" bottom="0" header="0.5118110236220472" footer="0.5118110236220472"/>
  <pageSetup horizontalDpi="600" verticalDpi="600" orientation="landscape" paperSize="9" scale="65" r:id="rId8"/>
  <rowBreaks count="1" manualBreakCount="1">
    <brk id="55" max="19" man="1"/>
  </rowBreaks>
  <colBreaks count="1" manualBreakCount="1">
    <brk id="20" max="65535" man="1"/>
  </colBreaks>
  <drawing r:id="rId7"/>
  <legacyDrawing r:id="rId6"/>
  <oleObjects>
    <oleObject progId="Word.Picture.8" shapeId="160333" r:id="rId1"/>
    <oleObject progId="Word.Picture.8" shapeId="160334" r:id="rId2"/>
    <oleObject progId="Word.Picture.8" shapeId="160335" r:id="rId3"/>
    <oleObject progId="Word.Picture.8" shapeId="160336" r:id="rId4"/>
    <oleObject progId="Word.Picture.8" shapeId="16033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IGNES</cp:lastModifiedBy>
  <cp:lastPrinted>2012-10-22T10:49:28Z</cp:lastPrinted>
  <dcterms:created xsi:type="dcterms:W3CDTF">2012-09-17T12:56:43Z</dcterms:created>
  <dcterms:modified xsi:type="dcterms:W3CDTF">2012-11-22T10:56:18Z</dcterms:modified>
  <cp:category/>
  <cp:version/>
  <cp:contentType/>
  <cp:contentStatus/>
</cp:coreProperties>
</file>