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BDI" sheetId="1" r:id="rId1"/>
    <sheet name="Orçamento" sheetId="2" r:id="rId2"/>
    <sheet name="Cronogram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i">'[9]Planilha de Preço'!#REF!</definedName>
    <definedName name="\l">'[9]Planilha de Preço'!#REF!</definedName>
    <definedName name="\s">'[9]Planilha de Preço'!#REF!</definedName>
    <definedName name="\t">'[9]Planilha de Preço'!#REF!</definedName>
    <definedName name="_Fill" hidden="1">'[6]Orçamento'!#REF!</definedName>
    <definedName name="AA100000">#REF!</definedName>
    <definedName name="AC">#REF!</definedName>
    <definedName name="AL">#REF!</definedName>
    <definedName name="_xlnm.Print_Area" localSheetId="2">'Cronograma'!$A$1:$H$32</definedName>
    <definedName name="_xlnm.Print_Area" localSheetId="1">'Orçamento'!$A$1:$I$108</definedName>
    <definedName name="Área_impressão_IM">'[9]Planilha de Preço'!#REF!</definedName>
    <definedName name="B.01.05.10.10">#REF!</definedName>
    <definedName name="CD">'[2]B.D.I.'!#REF!</definedName>
    <definedName name="CP">#REF!</definedName>
    <definedName name="CS">'[2]B.D.I.'!#REF!</definedName>
    <definedName name="CT">#REF!</definedName>
    <definedName name="DSADA">'[5]B.D.I.'!$D$12</definedName>
    <definedName name="EV">#REF!</definedName>
    <definedName name="FL_ROSTO">#REF!</definedName>
    <definedName name="FRETE">'[10]Preços insumos'!$F$11</definedName>
    <definedName name="IC">'[2]B.D.I.'!#REF!</definedName>
    <definedName name="IMP1">#REF!</definedName>
    <definedName name="IMP10">#REF!</definedName>
    <definedName name="IMP11">#REF!</definedName>
    <definedName name="IMP12">#REF!</definedName>
    <definedName name="IMP13">#REF!</definedName>
    <definedName name="IMP14">#REF!</definedName>
    <definedName name="IMP15">#REF!</definedName>
    <definedName name="IMP16">#REF!</definedName>
    <definedName name="IMP17">#REF!</definedName>
    <definedName name="IMP18">#REF!</definedName>
    <definedName name="IMP19">#REF!</definedName>
    <definedName name="IMP2">#REF!</definedName>
    <definedName name="IMP20">#REF!</definedName>
    <definedName name="IMP21">#REF!</definedName>
    <definedName name="IMP22">#REF!</definedName>
    <definedName name="IMP23">#REF!</definedName>
    <definedName name="IMP24">#REF!</definedName>
    <definedName name="IMP25">#REF!</definedName>
    <definedName name="IMP26">#REF!</definedName>
    <definedName name="IMP27">#REF!</definedName>
    <definedName name="IMP28">#REF!</definedName>
    <definedName name="IMP29">#REF!</definedName>
    <definedName name="IMP3">#REF!</definedName>
    <definedName name="IMP30">#REF!</definedName>
    <definedName name="IMP31">#REF!</definedName>
    <definedName name="IMP32">#REF!</definedName>
    <definedName name="IMP33">#REF!</definedName>
    <definedName name="IMP34">#REF!</definedName>
    <definedName name="IMP35">#REF!</definedName>
    <definedName name="IMP36">#REF!</definedName>
    <definedName name="IMP37">#REF!</definedName>
    <definedName name="IMP38">#REF!</definedName>
    <definedName name="IMP39">#REF!</definedName>
    <definedName name="IMP4">#REF!</definedName>
    <definedName name="IMP40">#REF!</definedName>
    <definedName name="IMP41">#REF!</definedName>
    <definedName name="IMP42">#REF!</definedName>
    <definedName name="IMP5">#REF!</definedName>
    <definedName name="IMP6">#REF!</definedName>
    <definedName name="IMP7">#REF!</definedName>
    <definedName name="IMP8">#REF!</definedName>
    <definedName name="IMP9">#REF!</definedName>
    <definedName name="IMPR">'[6]Orçamento'!#REF!</definedName>
    <definedName name="IMPR1">'[6]Orçamento'!#REF!</definedName>
    <definedName name="IS">#REF!</definedName>
    <definedName name="Kilo_da_Armação">'[3]Preços insumos'!$F$11</definedName>
    <definedName name="LB">#REF!</definedName>
    <definedName name="leizão">'[7]Total'!$D$27</definedName>
    <definedName name="LOC10">'[6]Orçamento'!#REF!</definedName>
    <definedName name="LOC11">'[6]Orçamento'!#REF!</definedName>
    <definedName name="LOC12">'[6]Orçamento'!#REF!</definedName>
    <definedName name="LOC13">'[6]Orçamento'!#REF!</definedName>
    <definedName name="LOC14">'[6]Orçamento'!#REF!</definedName>
    <definedName name="LOC15">'[6]Orçamento'!#REF!</definedName>
    <definedName name="LOC16">'[6]Orçamento'!#REF!</definedName>
    <definedName name="LOC17">'[6]Orçamento'!#REF!</definedName>
    <definedName name="LOC18">'[6]Orçamento'!#REF!</definedName>
    <definedName name="LOC19">'[6]Orçamento'!#REF!</definedName>
    <definedName name="LOC2">'[6]Orçamento'!#REF!</definedName>
    <definedName name="LOC20">'[6]Orçamento'!#REF!</definedName>
    <definedName name="LOC21">'[6]Orçamento'!#REF!</definedName>
    <definedName name="LOC22">'[6]Orçamento'!#REF!</definedName>
    <definedName name="LOC23">'[6]Orçamento'!#REF!</definedName>
    <definedName name="LOC24">'[6]Orçamento'!#REF!</definedName>
    <definedName name="LOC25">'[6]Orçamento'!#REF!</definedName>
    <definedName name="LOC26">'[6]Orçamento'!#REF!</definedName>
    <definedName name="LOC27">'[6]Orçamento'!#REF!</definedName>
    <definedName name="LOC28">'[6]Orçamento'!#REF!</definedName>
    <definedName name="LOC29">'[6]Orçamento'!#REF!</definedName>
    <definedName name="LOC3">'[6]Orçamento'!#REF!</definedName>
    <definedName name="LOC30">'[6]Orçamento'!#REF!</definedName>
    <definedName name="LOC31">'[6]Orçamento'!#REF!</definedName>
    <definedName name="LOC32">'[6]Orçamento'!#REF!</definedName>
    <definedName name="LOC33">'[6]Orçamento'!#REF!</definedName>
    <definedName name="LOC34">'[6]Orçamento'!#REF!</definedName>
    <definedName name="LOC35">'[6]Orçamento'!#REF!</definedName>
    <definedName name="LOC36">'[6]Orçamento'!#REF!</definedName>
    <definedName name="LOC37">'[6]Orçamento'!#REF!</definedName>
    <definedName name="LOC38">'[6]Orçamento'!#REF!</definedName>
    <definedName name="LOC39">'[6]Orçamento'!#REF!</definedName>
    <definedName name="LOC4">'[6]Orçamento'!#REF!</definedName>
    <definedName name="LOC40">'[6]Orçamento'!#REF!</definedName>
    <definedName name="LOC41">'[6]Orçamento'!#REF!</definedName>
    <definedName name="LOC42">'[6]Orçamento'!#REF!</definedName>
    <definedName name="LOC5">'[6]Orçamento'!#REF!</definedName>
    <definedName name="LOC6">'[6]Orçamento'!#REF!</definedName>
    <definedName name="LOC7">'[6]Orçamento'!#REF!</definedName>
    <definedName name="LOC8">'[6]Orçamento'!#REF!</definedName>
    <definedName name="LOC9">'[6]Orçamento'!#REF!</definedName>
    <definedName name="Macro1" localSheetId="2">'Cronograma'!Macro1</definedName>
    <definedName name="Macro1" localSheetId="1">'Orçamento'!Macro1</definedName>
    <definedName name="Macro1">[0]!Macro1</definedName>
    <definedName name="MACROS">'[9]Planilha de Preço'!#REF!</definedName>
    <definedName name="Mobilização" localSheetId="2">'Cronograma'!Mobilização</definedName>
    <definedName name="Mobilização" localSheetId="1">'Orçamento'!Mobilização</definedName>
    <definedName name="Mobilização">[0]!Mobilização</definedName>
    <definedName name="multi">'[8]OK'!$A$27</definedName>
    <definedName name="mumu">'[7]Prog'!$B$4</definedName>
    <definedName name="OBTENÇÃO">'[5]B.D.I.'!$D$7</definedName>
    <definedName name="Preço_Unit_Chácaras">#REF!</definedName>
    <definedName name="Print_Area_MI">'[7]Memorial'!#REF!</definedName>
    <definedName name="PV">#REF!</definedName>
    <definedName name="Quant_Chácaras">#REF!</definedName>
    <definedName name="R">'[9]Planilha de Preço'!#REF!</definedName>
    <definedName name="Receita_Chácaras">#REF!</definedName>
    <definedName name="SD" hidden="1">{#N/A,#N/A,FALSE,"MATERIAIS"}</definedName>
    <definedName name="solver_lin" hidden="1">0</definedName>
    <definedName name="solver_num" hidden="1">0</definedName>
    <definedName name="solver_opt" hidden="1">#REF!</definedName>
    <definedName name="solver_tmp" hidden="1">#REF!</definedName>
    <definedName name="solver_typ" hidden="1">1</definedName>
    <definedName name="solver_val" hidden="1">0</definedName>
    <definedName name="t_meso_2">#REF!</definedName>
    <definedName name="t_super_est_2">#REF!</definedName>
    <definedName name="Tela_1_PB_159___Ø_800_a_1000mm">'[4]Preços insumos'!$F$6</definedName>
    <definedName name="Tela_2_PB_196___Ø_1200mm">'[4]Preços insumos'!$F$8</definedName>
    <definedName name="Tela_3_PB_246___Ø_1500mm">'[4]Preços insumos'!$F$9</definedName>
    <definedName name="TESTE">'[9]Planilha de Preço'!#REF!</definedName>
    <definedName name="_xlnm.Print_Titles" localSheetId="1">'Orçamento'!$1:$10</definedName>
    <definedName name="tot_infra_1">#REF!</definedName>
    <definedName name="TOTAL_GERAL">#REF!</definedName>
    <definedName name="TOTALCRONOGRA">#REF!</definedName>
    <definedName name="wrn.COLETAS._.DE._.EQUIPAMENTOS." localSheetId="2" hidden="1">{#N/A,#N/A,FALSE,"EQUIPAMENTOS"}</definedName>
    <definedName name="wrn.COLETAS._.DE._.EQUIPAMENTOS." localSheetId="1" hidden="1">{#N/A,#N/A,FALSE,"EQUIPAMENTOS"}</definedName>
    <definedName name="wrn.COLETAS._.DE._.EQUIPAMENTOS." hidden="1">{#N/A,#N/A,FALSE,"EQUIPAMENTOS"}</definedName>
    <definedName name="wrn.COLETAS._.DE._.MATERIAIS." localSheetId="2" hidden="1">{#N/A,#N/A,FALSE,"SOTREQ"}</definedName>
    <definedName name="wrn.COLETAS._.DE._.MATERIAIS." localSheetId="1" hidden="1">{#N/A,#N/A,FALSE,"SOTREQ"}</definedName>
    <definedName name="wrn.COLETAS._.DE._.MATERIAIS." hidden="1">{#N/A,#N/A,FALSE,"SOTREQ"}</definedName>
    <definedName name="wrn.COMP._.EQUIP." localSheetId="2" hidden="1">{#N/A,#N/A,FALSE,"EQUIPAMENTOS"}</definedName>
    <definedName name="wrn.COMP._.EQUIP." localSheetId="1" hidden="1">{#N/A,#N/A,FALSE,"EQUIPAMENTOS"}</definedName>
    <definedName name="wrn.COMP._.EQUIP." hidden="1">{#N/A,#N/A,FALSE,"EQUIPAMENTOS"}</definedName>
    <definedName name="wrn.COMP._.MATERIAIS." localSheetId="2" hidden="1">{#N/A,#N/A,FALSE,"MATERIAIS"}</definedName>
    <definedName name="wrn.COMP._.MATERIAIS." localSheetId="1" hidden="1">{#N/A,#N/A,FALSE,"MATERIAIS"}</definedName>
    <definedName name="wrn.COMP._.MATERIAIS." hidden="1">{#N/A,#N/A,FALSE,"MATERIAIS"}</definedName>
    <definedName name="wrn.PNEUS." localSheetId="2" hidden="1">{#N/A,#N/A,FALSE,"EQUIPAMENTOS"}</definedName>
    <definedName name="wrn.PNEUS." localSheetId="1" hidden="1">{#N/A,#N/A,FALSE,"EQUIPAMENTOS"}</definedName>
    <definedName name="wrn.PNEUS." hidden="1">{#N/A,#N/A,FALSE,"EQUIPAMENTOS"}</definedName>
  </definedNames>
  <calcPr fullCalcOnLoad="1"/>
</workbook>
</file>

<file path=xl/sharedStrings.xml><?xml version="1.0" encoding="utf-8"?>
<sst xmlns="http://schemas.openxmlformats.org/spreadsheetml/2006/main" count="423" uniqueCount="196">
  <si>
    <t>1º</t>
  </si>
  <si>
    <t>3º</t>
  </si>
  <si>
    <t>PESO</t>
  </si>
  <si>
    <t>PREFEITURA MUNICIPAL PATOS DE MINAS</t>
  </si>
  <si>
    <t>ESTUDO DE CONCEPÇÃO PARA GESTÃO DAS ÁGUAS PLUVIAIS - PATOS DE MINAS</t>
  </si>
  <si>
    <t>LOCAL: Município de Patos de Minas / MG</t>
  </si>
  <si>
    <t>DATA BASE: julho /2011</t>
  </si>
  <si>
    <t>Item</t>
  </si>
  <si>
    <t>1.1</t>
  </si>
  <si>
    <t>1.2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</si>
  <si>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</si>
  <si>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</si>
  <si>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</si>
  <si>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</si>
  <si>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</si>
  <si>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</si>
  <si>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</si>
  <si>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</si>
  <si>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</si>
  <si>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</si>
  <si>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</si>
  <si>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</si>
  <si>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</si>
  <si>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</si>
  <si>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</si>
  <si>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</si>
  <si>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</si>
  <si>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</si>
  <si>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TOTAL GERAL</t>
  </si>
  <si>
    <t>2.5</t>
  </si>
  <si>
    <t>2.6</t>
  </si>
  <si>
    <t>2.7</t>
  </si>
  <si>
    <t>2.8</t>
  </si>
  <si>
    <t>TOTAL</t>
  </si>
  <si>
    <t>CRONOGRAMA-FINANCEIRO</t>
  </si>
  <si>
    <t>MESES</t>
  </si>
  <si>
    <t>ITEM</t>
  </si>
  <si>
    <t>SERVIÇOS</t>
  </si>
  <si>
    <t>VALOR</t>
  </si>
  <si>
    <t>2º</t>
  </si>
  <si>
    <t>VALOR MENSAL EM R$</t>
  </si>
  <si>
    <t>VALOR MENSAL EM %</t>
  </si>
  <si>
    <t>VALOR ACUMULADO EM R$</t>
  </si>
  <si>
    <t>VALOR ACUMULADO EM %</t>
  </si>
  <si>
    <t>COMPOSIÇÃO DO BDI (Bonificações e Despesas Indiretas)</t>
  </si>
  <si>
    <t>1) DESPESAS FINANCEIRAS - ( 0,00% a 1,2%)</t>
  </si>
  <si>
    <t xml:space="preserve">Riscos, administ. Central, administ., Garantia </t>
  </si>
  <si>
    <t>2) RISCOS  -  ( 0,00% A 2,05%)</t>
  </si>
  <si>
    <t>Despesas financeiras</t>
  </si>
  <si>
    <t>Bonificação/lucro</t>
  </si>
  <si>
    <t>COFIS/PIS/ISS/CPMF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</si>
  <si>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</si>
  <si>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</si>
  <si>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</si>
  <si>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</t>
  </si>
  <si>
    <t>ou variar até 5%, porem deduzindo-se o valor dos materiais aplicados o que corresponde em torno de 2 a 3 %.</t>
  </si>
  <si>
    <t xml:space="preserve">   Intervalo total admissível (6,03% a 9,03%)</t>
  </si>
  <si>
    <t>COFINS=</t>
  </si>
  <si>
    <t>PIS=</t>
  </si>
  <si>
    <t>ISS=</t>
  </si>
  <si>
    <t>CPMF=</t>
  </si>
  <si>
    <t>BDI=</t>
  </si>
  <si>
    <t>4.8</t>
  </si>
  <si>
    <t>4.9</t>
  </si>
  <si>
    <t>4.10</t>
  </si>
  <si>
    <t>4.11</t>
  </si>
  <si>
    <t>4.12</t>
  </si>
  <si>
    <t>Unid.</t>
  </si>
  <si>
    <t>PLANILHA ORÇAMENTÁRIA</t>
  </si>
  <si>
    <t>Descrição dos Serviços</t>
  </si>
  <si>
    <t>Subtotal</t>
  </si>
  <si>
    <t>TOTAL GERAL DO ORÇAMENTO</t>
  </si>
  <si>
    <t>2.9</t>
  </si>
  <si>
    <t>2.10</t>
  </si>
  <si>
    <t>2.11</t>
  </si>
  <si>
    <t>2.12</t>
  </si>
  <si>
    <t>2.13</t>
  </si>
  <si>
    <t>3.8</t>
  </si>
  <si>
    <t>3.9</t>
  </si>
  <si>
    <t>1.3</t>
  </si>
  <si>
    <t>1.4</t>
  </si>
  <si>
    <t>1.5</t>
  </si>
  <si>
    <t>1.6</t>
  </si>
  <si>
    <t>1.7</t>
  </si>
  <si>
    <t>1.8</t>
  </si>
  <si>
    <t>3.10</t>
  </si>
  <si>
    <t>3.11</t>
  </si>
  <si>
    <t>3.12</t>
  </si>
  <si>
    <t>3.13</t>
  </si>
  <si>
    <t>Auxiliar de Engenharia</t>
  </si>
  <si>
    <t>Cadista</t>
  </si>
  <si>
    <t>Secretária</t>
  </si>
  <si>
    <t>Digitador</t>
  </si>
  <si>
    <t>Auxiliar Administrativo</t>
  </si>
  <si>
    <t>Motorista</t>
  </si>
  <si>
    <t>Serviços Gerais</t>
  </si>
  <si>
    <t>hora</t>
  </si>
  <si>
    <t>DATA: Julho / 2011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</si>
  <si>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</si>
  <si>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</si>
  <si>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</si>
  <si>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</si>
  <si>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</si>
  <si>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</si>
  <si>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</si>
  <si>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</si>
  <si>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</si>
  <si>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</si>
  <si>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</si>
  <si>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</si>
  <si>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</si>
  <si>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</si>
  <si>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</si>
  <si>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</si>
  <si>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</si>
  <si>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</si>
  <si>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4.16</t>
  </si>
  <si>
    <t>4.17</t>
  </si>
  <si>
    <t>4.18</t>
  </si>
  <si>
    <t>4.19</t>
  </si>
  <si>
    <t>4.20</t>
  </si>
  <si>
    <t>4.21</t>
  </si>
  <si>
    <t>4.22</t>
  </si>
  <si>
    <t>Plano de Trabalho Consolidado</t>
  </si>
  <si>
    <t>Especialista em planejamento urbano e infraestrutura - Arquiteto Pleno</t>
  </si>
  <si>
    <t>Coordenador Geral  - Engenheiro civil ou sanitarista ou arquiteto especialista em planejamento urbano geotecnia e meio ambiente - Senior</t>
  </si>
  <si>
    <t>Especialista projetos de sistemas de drenagem urbana e de esgotos sanitários - Engenheiro Civil ou Sanitarista Pleno</t>
  </si>
  <si>
    <t>Arquiteto e Urbanista Júnior</t>
  </si>
  <si>
    <t>Engenheiro civil ou sanitarista ou ambiental Júnior</t>
  </si>
  <si>
    <t>Engenheiro Agrimensor Pleno</t>
  </si>
  <si>
    <t>Auxiliar de Topografia</t>
  </si>
  <si>
    <t>Engenheiro Químico Pleno</t>
  </si>
  <si>
    <t>Técnico em Química</t>
  </si>
  <si>
    <t>Auxiliar de laboratório</t>
  </si>
  <si>
    <t>Diagnóstico da Situação Atual - Dados e Informações Coletadas, Definição da Base Cartográfica, Formulação de Cenários, Diagnóstico e Prognóstico das Inundações - Caracterização da Área de Influência Direta - AID</t>
  </si>
  <si>
    <t>Especializado em Geotecnia, em hidrogeologia e/ ou hidrologia para projetos de drenagem urbana e esgotos sanitários - Geólogo ou Engenheiro Civil Pleno</t>
  </si>
  <si>
    <t>Especialista em avaliação ambiental -  Engenheiro  Sanitarista ou Ambiental Pleno</t>
  </si>
  <si>
    <r>
      <t>Especialista em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políticas públicas e/ou defesa civil - Biólogo</t>
    </r>
  </si>
  <si>
    <r>
      <t>Especialista em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políticas públicas e/ou defesa civil - Sociólogo</t>
    </r>
  </si>
  <si>
    <t>Especialista em projetos de estrutura  - Engenheiro Civil Pleno</t>
  </si>
  <si>
    <t>Estudos Ambientais Preliminares – RAP e Proposição – Alternativas Técnicas de Concepção</t>
  </si>
  <si>
    <t>3.23</t>
  </si>
  <si>
    <t>3.24</t>
  </si>
  <si>
    <t>3.25</t>
  </si>
  <si>
    <t>3.26</t>
  </si>
  <si>
    <t>3.27</t>
  </si>
  <si>
    <t>Relatório Final Estudo de Concepção - Otimização das Medidas Estruturais de Controle, Proposições - Anteprojetos das medidas de controle estruturais, Estudos e Serviços Complementares e Termo de Referência para contratação de empresa para elaboração dos Projetos Básicos e Executivos</t>
  </si>
  <si>
    <t xml:space="preserve">Estudo de Concepção para Gestão das Águas Pluviais - Patos de Minas </t>
  </si>
  <si>
    <t>PREFEITURA MUNICIPAL DE PATOS DE MINAS</t>
  </si>
  <si>
    <t>LOCAL: Município de PATOS DE MINAS / MG</t>
  </si>
  <si>
    <t>PREÇO SEM BDI</t>
  </si>
  <si>
    <t>UNITÁRIO</t>
  </si>
  <si>
    <t>Código Referência</t>
  </si>
  <si>
    <t>Quant.</t>
  </si>
  <si>
    <t>2.23</t>
  </si>
  <si>
    <t>2.24</t>
  </si>
  <si>
    <t>2.25</t>
  </si>
  <si>
    <t>2.26</t>
  </si>
  <si>
    <t>2.27</t>
  </si>
  <si>
    <t>4.23</t>
  </si>
  <si>
    <t>4.24</t>
  </si>
  <si>
    <t>4.25</t>
  </si>
  <si>
    <t>4.26</t>
  </si>
  <si>
    <t>4.27</t>
  </si>
  <si>
    <t>1.9</t>
  </si>
  <si>
    <t>1.10</t>
  </si>
  <si>
    <t>material de escritório</t>
  </si>
  <si>
    <t>cópias e reproduções</t>
  </si>
  <si>
    <t>mês</t>
  </si>
  <si>
    <t>SINAPI-2350</t>
  </si>
  <si>
    <t>SINAPI-4095</t>
  </si>
  <si>
    <t>CON-COR-045 -SETOP</t>
  </si>
  <si>
    <t>CON-COR-050 -SETOP</t>
  </si>
  <si>
    <t>VIS-CAD-020 - SETOP</t>
  </si>
  <si>
    <t>CON-ESC-005 -SETOP</t>
  </si>
  <si>
    <t>CON-COP-005 -SETOP</t>
  </si>
  <si>
    <t>SINAPI- 2706</t>
  </si>
  <si>
    <t>SINAPI- 2707</t>
  </si>
  <si>
    <t>SINAPI- 245</t>
  </si>
  <si>
    <t>SINAPI- 244</t>
  </si>
  <si>
    <t>SINAPI- 532</t>
  </si>
  <si>
    <t>SINAPI- 2350</t>
  </si>
  <si>
    <t>SINAPI- 4095</t>
  </si>
  <si>
    <t>carreto -kombi</t>
  </si>
  <si>
    <t>carro p/ engenheiro e outros</t>
  </si>
  <si>
    <t>DES-TRA-010-SETOP</t>
  </si>
  <si>
    <t>via</t>
  </si>
  <si>
    <t>DES-CAR-005-SETOP</t>
  </si>
  <si>
    <t>CONTRATO: 0351.273-18</t>
  </si>
  <si>
    <t>CONTRATO N°   0351.273-18</t>
  </si>
  <si>
    <t xml:space="preserve">CONTRATO N° 0351.273-18 </t>
  </si>
  <si>
    <t>Especialista em Geoprocessamento- Engenheiro Civil ou Arquiteto pleno</t>
  </si>
  <si>
    <t>VIS-CAD-010 - SETOP</t>
  </si>
  <si>
    <t>VIS-CAD-005-SETOP</t>
  </si>
  <si>
    <t>SINAPI- 6121</t>
  </si>
  <si>
    <t>PREÇO COM BDI - %</t>
  </si>
</sst>
</file>

<file path=xl/styles.xml><?xml version="1.0" encoding="utf-8"?>
<styleSheet xmlns="http://schemas.openxmlformats.org/spreadsheetml/2006/main">
  <numFmts count="4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00"/>
    <numFmt numFmtId="176" formatCode="0.00000"/>
    <numFmt numFmtId="177" formatCode="0.0000"/>
    <numFmt numFmtId="178" formatCode="0.000"/>
    <numFmt numFmtId="179" formatCode="_(* #,##0_);_(* \(#,##0\);_(* &quot;-&quot;??_);_(@_)"/>
    <numFmt numFmtId="180" formatCode="0.0"/>
    <numFmt numFmtId="181" formatCode="#,##0.0"/>
    <numFmt numFmtId="182" formatCode="&quot;R$ &quot;#,##0.00"/>
    <numFmt numFmtId="183" formatCode="ddd"/>
    <numFmt numFmtId="184" formatCode="_(&quot;R$&quot;* #,##0.0000_);_(&quot;R$&quot;* \(#,##0.0000\);_(&quot;R$&quot;* &quot;-&quot;????_);_(@_)"/>
    <numFmt numFmtId="185" formatCode="d/mm/yyyy"/>
    <numFmt numFmtId="186" formatCode="#,##0.000"/>
    <numFmt numFmtId="187" formatCode="#,##0.0000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%"/>
    <numFmt numFmtId="195" formatCode="#,##0.00_ ;[Red]\-#,##0.00\ 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[$€-2]\ #,##0.00_);[Red]\([$€-2]\ #,##0.00\)"/>
    <numFmt numFmtId="200" formatCode="0.000%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0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48"/>
      <name val="Arial"/>
      <family val="2"/>
    </font>
    <font>
      <b/>
      <sz val="24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8"/>
      <name val="Arial"/>
      <family val="2"/>
    </font>
    <font>
      <b/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>
      <alignment/>
      <protection locked="0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2" fontId="0" fillId="0" borderId="0">
      <alignment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183" fontId="0" fillId="0" borderId="0">
      <alignment/>
      <protection locked="0"/>
    </xf>
    <xf numFmtId="185" fontId="0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184" fontId="0" fillId="0" borderId="0">
      <alignment/>
      <protection locked="0"/>
    </xf>
    <xf numFmtId="184" fontId="0" fillId="0" borderId="0">
      <alignment/>
      <protection locked="0"/>
    </xf>
    <xf numFmtId="184" fontId="0" fillId="0" borderId="9">
      <alignment/>
      <protection locked="0"/>
    </xf>
  </cellStyleXfs>
  <cellXfs count="18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10" fontId="21" fillId="0" borderId="10" xfId="56" applyNumberFormat="1" applyFont="1" applyBorder="1" applyAlignment="1">
      <alignment horizontal="center" vertical="center"/>
    </xf>
    <xf numFmtId="10" fontId="21" fillId="0" borderId="11" xfId="56" applyNumberFormat="1" applyFont="1" applyBorder="1" applyAlignment="1">
      <alignment horizontal="center" vertical="center"/>
    </xf>
    <xf numFmtId="43" fontId="21" fillId="0" borderId="0" xfId="0" applyNumberFormat="1" applyFont="1" applyBorder="1" applyAlignment="1">
      <alignment/>
    </xf>
    <xf numFmtId="9" fontId="21" fillId="0" borderId="0" xfId="0" applyNumberFormat="1" applyFont="1" applyBorder="1" applyAlignment="1">
      <alignment/>
    </xf>
    <xf numFmtId="43" fontId="21" fillId="0" borderId="10" xfId="60" applyFont="1" applyBorder="1" applyAlignment="1">
      <alignment horizontal="center" vertical="center"/>
    </xf>
    <xf numFmtId="43" fontId="21" fillId="0" borderId="0" xfId="0" applyNumberFormat="1" applyFont="1" applyAlignment="1">
      <alignment/>
    </xf>
    <xf numFmtId="4" fontId="22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3" fontId="21" fillId="0" borderId="11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3" fontId="21" fillId="0" borderId="10" xfId="0" applyNumberFormat="1" applyFont="1" applyBorder="1" applyAlignment="1">
      <alignment vertical="center"/>
    </xf>
    <xf numFmtId="10" fontId="21" fillId="0" borderId="10" xfId="56" applyNumberFormat="1" applyFont="1" applyBorder="1" applyAlignment="1">
      <alignment vertical="center"/>
    </xf>
    <xf numFmtId="10" fontId="21" fillId="0" borderId="11" xfId="56" applyNumberFormat="1" applyFont="1" applyBorder="1" applyAlignment="1">
      <alignment vertical="center"/>
    </xf>
    <xf numFmtId="10" fontId="21" fillId="0" borderId="0" xfId="56" applyNumberFormat="1" applyFont="1" applyBorder="1" applyAlignment="1">
      <alignment/>
    </xf>
    <xf numFmtId="43" fontId="21" fillId="0" borderId="12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/>
    </xf>
    <xf numFmtId="43" fontId="21" fillId="0" borderId="0" xfId="0" applyNumberFormat="1" applyFont="1" applyAlignment="1">
      <alignment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43" fontId="21" fillId="24" borderId="15" xfId="0" applyNumberFormat="1" applyFont="1" applyFill="1" applyBorder="1" applyAlignment="1">
      <alignment vertical="center"/>
    </xf>
    <xf numFmtId="43" fontId="21" fillId="24" borderId="12" xfId="0" applyNumberFormat="1" applyFont="1" applyFill="1" applyBorder="1" applyAlignment="1">
      <alignment vertical="center"/>
    </xf>
    <xf numFmtId="43" fontId="21" fillId="24" borderId="16" xfId="0" applyNumberFormat="1" applyFont="1" applyFill="1" applyBorder="1" applyAlignment="1">
      <alignment vertical="center"/>
    </xf>
    <xf numFmtId="10" fontId="21" fillId="0" borderId="12" xfId="56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/>
    </xf>
    <xf numFmtId="10" fontId="21" fillId="0" borderId="19" xfId="56" applyNumberFormat="1" applyFont="1" applyBorder="1" applyAlignment="1">
      <alignment vertical="center"/>
    </xf>
    <xf numFmtId="10" fontId="21" fillId="0" borderId="20" xfId="0" applyNumberFormat="1" applyFont="1" applyBorder="1" applyAlignment="1">
      <alignment vertical="center"/>
    </xf>
    <xf numFmtId="43" fontId="21" fillId="0" borderId="12" xfId="0" applyNumberFormat="1" applyFont="1" applyFill="1" applyBorder="1" applyAlignment="1">
      <alignment vertical="center"/>
    </xf>
    <xf numFmtId="43" fontId="21" fillId="0" borderId="15" xfId="0" applyNumberFormat="1" applyFont="1" applyFill="1" applyBorder="1" applyAlignment="1">
      <alignment vertical="center"/>
    </xf>
    <xf numFmtId="43" fontId="31" fillId="0" borderId="15" xfId="0" applyNumberFormat="1" applyFont="1" applyFill="1" applyBorder="1" applyAlignment="1">
      <alignment vertical="center"/>
    </xf>
    <xf numFmtId="0" fontId="48" fillId="25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 vertical="top"/>
    </xf>
    <xf numFmtId="0" fontId="42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42" fillId="25" borderId="0" xfId="0" applyFont="1" applyFill="1" applyAlignment="1" applyProtection="1">
      <alignment/>
      <protection/>
    </xf>
    <xf numFmtId="0" fontId="42" fillId="25" borderId="0" xfId="0" applyNumberFormat="1" applyFont="1" applyFill="1" applyAlignment="1" applyProtection="1">
      <alignment/>
      <protection/>
    </xf>
    <xf numFmtId="4" fontId="42" fillId="25" borderId="0" xfId="0" applyNumberFormat="1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vertical="center" wrapText="1"/>
      <protection/>
    </xf>
    <xf numFmtId="10" fontId="36" fillId="0" borderId="10" xfId="0" applyNumberFormat="1" applyFont="1" applyFill="1" applyBorder="1" applyAlignment="1" applyProtection="1">
      <alignment horizontal="center" vertical="center" wrapText="1"/>
      <protection/>
    </xf>
    <xf numFmtId="10" fontId="36" fillId="0" borderId="10" xfId="0" applyNumberFormat="1" applyFont="1" applyFill="1" applyBorder="1" applyAlignment="1" applyProtection="1">
      <alignment horizontal="right" vertical="center" wrapText="1"/>
      <protection/>
    </xf>
    <xf numFmtId="0" fontId="36" fillId="16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justify" vertical="center" wrapText="1"/>
      <protection/>
    </xf>
    <xf numFmtId="43" fontId="44" fillId="0" borderId="10" xfId="62" applyNumberFormat="1" applyFont="1" applyFill="1" applyBorder="1" applyAlignment="1" applyProtection="1">
      <alignment horizontal="center" vertical="center" wrapText="1"/>
      <protection/>
    </xf>
    <xf numFmtId="43" fontId="44" fillId="0" borderId="10" xfId="62" applyFont="1" applyFill="1" applyBorder="1" applyAlignment="1" applyProtection="1">
      <alignment horizontal="center" vertical="center" wrapTex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10" xfId="62" applyNumberFormat="1" applyFont="1" applyFill="1" applyBorder="1" applyAlignment="1" applyProtection="1">
      <alignment horizontal="center" vertical="center" wrapText="1"/>
      <protection/>
    </xf>
    <xf numFmtId="0" fontId="38" fillId="3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right" vertical="center" wrapText="1"/>
      <protection/>
    </xf>
    <xf numFmtId="43" fontId="45" fillId="0" borderId="10" xfId="62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46" fillId="0" borderId="10" xfId="0" applyFont="1" applyFill="1" applyBorder="1" applyAlignment="1" applyProtection="1">
      <alignment horizontal="justify"/>
      <protection/>
    </xf>
    <xf numFmtId="0" fontId="48" fillId="0" borderId="10" xfId="62" applyNumberFormat="1" applyFont="1" applyFill="1" applyBorder="1" applyAlignment="1" applyProtection="1">
      <alignment horizontal="center" vertical="center" wrapText="1"/>
      <protection/>
    </xf>
    <xf numFmtId="203" fontId="44" fillId="0" borderId="10" xfId="62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43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NumberFormat="1" applyFont="1" applyFill="1" applyAlignment="1" applyProtection="1">
      <alignment/>
      <protection/>
    </xf>
    <xf numFmtId="43" fontId="34" fillId="0" borderId="0" xfId="0" applyNumberFormat="1" applyFont="1" applyFill="1" applyAlignment="1" applyProtection="1">
      <alignment horizontal="center"/>
      <protection/>
    </xf>
    <xf numFmtId="4" fontId="34" fillId="0" borderId="0" xfId="0" applyNumberFormat="1" applyFont="1" applyFill="1" applyAlignment="1" applyProtection="1">
      <alignment horizontal="right"/>
      <protection/>
    </xf>
    <xf numFmtId="0" fontId="41" fillId="0" borderId="0" xfId="0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4" fontId="42" fillId="0" borderId="0" xfId="0" applyNumberFormat="1" applyFont="1" applyFill="1" applyAlignment="1" applyProtection="1">
      <alignment horizontal="right"/>
      <protection/>
    </xf>
    <xf numFmtId="9" fontId="36" fillId="0" borderId="10" xfId="56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left" vertical="center" wrapText="1"/>
    </xf>
    <xf numFmtId="0" fontId="36" fillId="16" borderId="10" xfId="0" applyFont="1" applyFill="1" applyBorder="1" applyAlignment="1" applyProtection="1">
      <alignment horizontal="justify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 applyProtection="1">
      <alignment horizontal="left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16" borderId="10" xfId="0" applyFont="1" applyFill="1" applyBorder="1" applyAlignment="1" applyProtection="1">
      <alignment horizontal="left" vertical="center" wrapText="1"/>
      <protection/>
    </xf>
    <xf numFmtId="0" fontId="49" fillId="25" borderId="0" xfId="0" applyFont="1" applyFill="1" applyAlignment="1" applyProtection="1">
      <alignment horizontal="center" vertical="top"/>
      <protection/>
    </xf>
    <xf numFmtId="0" fontId="43" fillId="0" borderId="21" xfId="0" applyFont="1" applyFill="1" applyBorder="1" applyAlignment="1" applyProtection="1">
      <alignment horizontal="center" vertical="center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43" fillId="0" borderId="23" xfId="0" applyFont="1" applyFill="1" applyBorder="1" applyAlignment="1" applyProtection="1">
      <alignment horizontal="center" vertical="center"/>
      <protection/>
    </xf>
    <xf numFmtId="0" fontId="34" fillId="0" borderId="24" xfId="0" applyFont="1" applyFill="1" applyBorder="1" applyAlignment="1" applyProtection="1">
      <alignment horizontal="center" vertical="center"/>
      <protection/>
    </xf>
    <xf numFmtId="0" fontId="34" fillId="0" borderId="25" xfId="0" applyFont="1" applyFill="1" applyBorder="1" applyAlignment="1" applyProtection="1">
      <alignment horizontal="center" vertical="center"/>
      <protection/>
    </xf>
    <xf numFmtId="0" fontId="34" fillId="0" borderId="26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2" fillId="0" borderId="13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1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justify" vertical="justify" wrapText="1"/>
    </xf>
    <xf numFmtId="0" fontId="22" fillId="0" borderId="29" xfId="0" applyFont="1" applyBorder="1" applyAlignment="1">
      <alignment horizontal="justify" vertical="justify" wrapText="1"/>
    </xf>
    <xf numFmtId="0" fontId="22" fillId="0" borderId="30" xfId="0" applyFont="1" applyBorder="1" applyAlignment="1">
      <alignment horizontal="justify" vertical="justify" wrapText="1"/>
    </xf>
    <xf numFmtId="4" fontId="21" fillId="0" borderId="10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9" fontId="21" fillId="0" borderId="28" xfId="56" applyFont="1" applyBorder="1" applyAlignment="1">
      <alignment horizontal="center" vertical="center"/>
    </xf>
    <xf numFmtId="9" fontId="21" fillId="0" borderId="29" xfId="56" applyFont="1" applyBorder="1" applyAlignment="1">
      <alignment horizontal="center" vertical="center"/>
    </xf>
    <xf numFmtId="9" fontId="21" fillId="0" borderId="30" xfId="56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readingOrder="1"/>
    </xf>
    <xf numFmtId="0" fontId="22" fillId="0" borderId="15" xfId="0" applyFont="1" applyBorder="1" applyAlignment="1">
      <alignment horizontal="left" vertical="center" wrapText="1" readingOrder="1"/>
    </xf>
    <xf numFmtId="0" fontId="22" fillId="0" borderId="16" xfId="0" applyFont="1" applyBorder="1" applyAlignment="1">
      <alignment horizontal="left" vertical="center" wrapText="1" readingOrder="1"/>
    </xf>
    <xf numFmtId="0" fontId="22" fillId="0" borderId="13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top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2" fillId="0" borderId="31" xfId="0" applyFont="1" applyBorder="1" applyAlignment="1" applyProtection="1">
      <alignment horizontal="left"/>
      <protection locked="0"/>
    </xf>
    <xf numFmtId="0" fontId="22" fillId="0" borderId="32" xfId="0" applyFont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horizontal="left"/>
      <protection locked="0"/>
    </xf>
    <xf numFmtId="0" fontId="24" fillId="0" borderId="41" xfId="0" applyFont="1" applyFill="1" applyBorder="1" applyAlignment="1" applyProtection="1">
      <alignment horizontal="center" vertical="center" wrapText="1"/>
      <protection locked="0"/>
    </xf>
    <xf numFmtId="0" fontId="33" fillId="0" borderId="41" xfId="0" applyFont="1" applyFill="1" applyBorder="1" applyAlignment="1" applyProtection="1">
      <alignment horizontal="center" vertical="center" wrapText="1"/>
      <protection locked="0"/>
    </xf>
    <xf numFmtId="0" fontId="33" fillId="0" borderId="4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/>
      <protection locked="0"/>
    </xf>
    <xf numFmtId="0" fontId="22" fillId="0" borderId="27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43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44" xfId="0" applyFont="1" applyBorder="1" applyAlignment="1" applyProtection="1">
      <alignment vertical="center"/>
      <protection locked="0"/>
    </xf>
    <xf numFmtId="10" fontId="0" fillId="0" borderId="45" xfId="56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7" fillId="0" borderId="46" xfId="0" applyFont="1" applyBorder="1" applyAlignment="1" applyProtection="1">
      <alignment/>
      <protection locked="0"/>
    </xf>
    <xf numFmtId="173" fontId="28" fillId="0" borderId="45" xfId="60" applyNumberFormat="1" applyFont="1" applyBorder="1" applyAlignment="1" applyProtection="1">
      <alignment/>
      <protection locked="0"/>
    </xf>
    <xf numFmtId="0" fontId="27" fillId="0" borderId="47" xfId="0" applyFont="1" applyBorder="1" applyAlignment="1" applyProtection="1">
      <alignment/>
      <protection locked="0"/>
    </xf>
    <xf numFmtId="0" fontId="27" fillId="0" borderId="48" xfId="0" applyFont="1" applyBorder="1" applyAlignment="1" applyProtection="1">
      <alignment/>
      <protection locked="0"/>
    </xf>
    <xf numFmtId="10" fontId="0" fillId="0" borderId="0" xfId="56" applyNumberForma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10" fontId="29" fillId="0" borderId="0" xfId="56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0" fontId="0" fillId="0" borderId="45" xfId="56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ix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ta" xfId="53"/>
    <cellStyle name="Percentual" xfId="54"/>
    <cellStyle name="Ponto" xfId="55"/>
    <cellStyle name="Percent" xfId="56"/>
    <cellStyle name="Porcentagem 2" xfId="57"/>
    <cellStyle name="Porcentagem 3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itulo1" xfId="70"/>
    <cellStyle name="Titulo2" xfId="71"/>
    <cellStyle name="Total" xfId="72"/>
  </cellStyles>
  <dxfs count="2">
    <dxf>
      <font>
        <color indexed="8"/>
      </font>
      <fill>
        <patternFill>
          <bgColor indexed="8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CIDADES\Uberl&#226;ndia\Cp511-01\Etapa%201\cronogram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1\ORCAMENT\ProducaoGeral\CTR%20-%20Pre&#231;os\Pre&#231;os%20CTR%20industria%20%2025-07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_ptc_cpd\_Trabalho\ORGAOS\Dnit\Dnit%20-%20MG\Concorrencia%20Publica\CP%20327-2006\Lote%2005\Planilha%20CP327-Lt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CIDADES\Uberl&#226;ndia\Cp511-01\planilha%20comparati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ducaoGeral\CTR%20-%20Pre&#231;os\Pre&#231;os%20CTR%20industria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1\users\ProducaoGeral\CTR%20-%20Pre&#231;os\Pre&#231;os%20CTR%20Tubos%20%2017-04-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ORGAOS\COPASA\TOMADAPR\DVLI.0.103-00-TNO\Dvli.0.103-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CIDADES\OSASCO\Concorr&#234;ncia\Cp%20028-02\Anexo%20III%20-%20Planilha%20de%20Or&#231;amento\Planilha%20de%20Or&#231;amen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Or&#231;amento\Planilhas%20Or&#231;amento\HomeHo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Or&#231;amento\Planilhas%20Or&#231;amento\BDITAX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_udi2\orcament\ORGAOS\INFRAERO\Concorr&#234;ncia\CO%20009%202003%20Aerop%20Udia\Planilha%20Or&#231;ament&#225;ria%20-%20Br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Cronograma (2)"/>
      <sheetName val="Volumes"/>
      <sheetName val="Preço BDMG"/>
      <sheetName val="Cronograma1"/>
      <sheetName val="V 1 trecho"/>
      <sheetName val="BDMG 1 trecho"/>
      <sheetName val="Lev-Esgoto"/>
      <sheetName val="Esgoto-1Etapa"/>
      <sheetName val="esgoto"/>
      <sheetName val="Cron Esgoto"/>
      <sheetName val="Cronograma2"/>
      <sheetName val="V 2 trecho"/>
      <sheetName val="BDMG 2 trecho"/>
      <sheetName val="Cronograma3"/>
      <sheetName val="V 3 trecho"/>
      <sheetName val="BDMG 3 trech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Telas"/>
      <sheetName val="Preços insumos"/>
      <sheetName val="Tabela de Produdos"/>
      <sheetName val="Traços concreto"/>
      <sheetName val="Traços CBUQ-PMQ"/>
    </sheetNames>
    <sheetDataSet>
      <sheetData sheetId="1">
        <row r="11">
          <cell r="F11">
            <v>1.19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sto"/>
      <sheetName val="Preço"/>
      <sheetName val="demonst"/>
      <sheetName val="Planilha"/>
      <sheetName val="Questões"/>
      <sheetName val="Cotações"/>
      <sheetName val="Equi-MO"/>
      <sheetName val="Mobiliz"/>
      <sheetName val="PCI-total"/>
      <sheetName val="PCI-descontado"/>
      <sheetName val="usina"/>
      <sheetName val="mater"/>
      <sheetName val="demonst real"/>
      <sheetName val="Planilha Real"/>
      <sheetName val="PCI-total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to"/>
      <sheetName val="Preço "/>
      <sheetName val="Resumo"/>
      <sheetName val="Planilha comparativa"/>
      <sheetName val="Planilha comparativa (2)"/>
      <sheetName val="Planilha comparativa (3)"/>
      <sheetName val="Planilha comparativa (4)"/>
      <sheetName val="Planilha simulaçao (4)"/>
      <sheetName val="Planilha simulaçao (5)-briga"/>
      <sheetName val="Planilha Preço Prop x Custo Alt"/>
      <sheetName val="Planilha Preço Prop x Custo pre"/>
      <sheetName val="Planilha Preço Prop x Custo (2)"/>
      <sheetName val="Cronograma"/>
      <sheetName val="Encargos Sociais"/>
      <sheetName val="B.D.I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Telas"/>
      <sheetName val="Preços insumos"/>
      <sheetName val="Tabela de Produtos"/>
      <sheetName val="Traços concreto"/>
      <sheetName val="Traços CBUQ-PMQ"/>
    </sheetNames>
    <sheetDataSet>
      <sheetData sheetId="1">
        <row r="11">
          <cell r="F11">
            <v>1.89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ços insumos"/>
      <sheetName val="Tabela de Produdos"/>
      <sheetName val="Traços concreto"/>
      <sheetName val="RES9295"/>
    </sheetNames>
    <sheetDataSet>
      <sheetData sheetId="0">
        <row r="6">
          <cell r="F6">
            <v>3.1689999999999996</v>
          </cell>
        </row>
        <row r="8">
          <cell r="F8">
            <v>3.700416666666667</v>
          </cell>
        </row>
        <row r="9">
          <cell r="F9">
            <v>4.1120833333333335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sto"/>
      <sheetName val="Preço"/>
      <sheetName val="Planilha DVLI.0.103-00-TNO"/>
      <sheetName val="Comp.Anal. Custo"/>
      <sheetName val="Enc. Sociais"/>
      <sheetName val="B.D.I."/>
      <sheetName val="B.D.I. Demonstrativo"/>
      <sheetName val="Taxa Adm. so materiais"/>
      <sheetName val="B.D.I. Demonstrativo (2)"/>
    </sheetNames>
    <sheetDataSet>
      <sheetData sheetId="5">
        <row r="7">
          <cell r="D7">
            <v>22386.5</v>
          </cell>
        </row>
        <row r="12">
          <cell r="D12">
            <v>13000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ódulo4"/>
      <sheetName val="Módulo3"/>
      <sheetName val="Módulo2"/>
      <sheetName val="Módulo1"/>
      <sheetName val="Custo"/>
      <sheetName val="Preço"/>
      <sheetName val="demons"/>
      <sheetName val="demons (2)"/>
      <sheetName val="pci"/>
      <sheetName val="Orçamento"/>
      <sheetName val="mão de obra"/>
      <sheetName val="MO-EQUIP"/>
      <sheetName val="SEGURANÇA"/>
      <sheetName val="Indiretos"/>
      <sheetName val="Crono"/>
      <sheetName val="LocFormas"/>
      <sheetName val="formas"/>
      <sheetName val="LevGaleria"/>
      <sheetName val="planilha transp"/>
      <sheetName val="Fresagem"/>
      <sheetName val="composições"/>
      <sheetName val="Escavação"/>
      <sheetName val="frete m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Salários"/>
      <sheetName val="Equipe"/>
      <sheetName val="Calc"/>
      <sheetName val="Insumos"/>
      <sheetName val="HH"/>
      <sheetName val="Mensal"/>
      <sheetName val="Total"/>
      <sheetName val="Memorial"/>
      <sheetName val="Prog"/>
      <sheetName val="Module1"/>
      <sheetName val="Module2"/>
    </sheetNames>
    <sheetDataSet>
      <sheetData sheetId="7">
        <row r="27">
          <cell r="D27">
            <v>1.240135121016721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tivo"/>
      <sheetName val="Saída"/>
      <sheetName val="Financ"/>
      <sheetName val="BDI"/>
      <sheetName val="Module2"/>
      <sheetName val="ADM"/>
      <sheetName val="OK"/>
      <sheetName val="BDITAXA"/>
    </sheetNames>
    <sheetDataSet>
      <sheetData sheetId="6">
        <row r="27">
          <cell r="A27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ço"/>
      <sheetName val="Planilha de Preço"/>
      <sheetName val="Cronograma"/>
      <sheetName val="Demonstrativo B.D.I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3.v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showGridLines="0" tabSelected="1" zoomScalePageLayoutView="0" workbookViewId="0" topLeftCell="A1">
      <selection activeCell="D2" sqref="D2"/>
    </sheetView>
  </sheetViews>
  <sheetFormatPr defaultColWidth="9.140625" defaultRowHeight="12.75"/>
  <cols>
    <col min="1" max="1" width="9.140625" style="152" customWidth="1"/>
    <col min="2" max="3" width="9.28125" style="152" bestFit="1" customWidth="1"/>
    <col min="4" max="4" width="18.00390625" style="152" bestFit="1" customWidth="1"/>
    <col min="5" max="5" width="9.7109375" style="152" customWidth="1"/>
    <col min="6" max="6" width="9.140625" style="152" customWidth="1"/>
    <col min="7" max="7" width="9.28125" style="152" bestFit="1" customWidth="1"/>
    <col min="8" max="8" width="9.140625" style="152" customWidth="1"/>
    <col min="9" max="10" width="9.28125" style="152" bestFit="1" customWidth="1"/>
    <col min="11" max="16384" width="9.140625" style="152" customWidth="1"/>
  </cols>
  <sheetData>
    <row r="1" ht="15" customHeight="1"/>
    <row r="2" ht="31.5" customHeight="1">
      <c r="C2" s="153" t="s">
        <v>148</v>
      </c>
    </row>
    <row r="3" ht="31.5" customHeight="1">
      <c r="C3" s="153"/>
    </row>
    <row r="4" spans="1:10" ht="23.25">
      <c r="A4" s="154" t="s">
        <v>44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s="156" customFormat="1" ht="23.25" thickBot="1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2" s="163" customFormat="1" ht="15.75" customHeight="1">
      <c r="A6" s="157" t="s">
        <v>148</v>
      </c>
      <c r="B6" s="158"/>
      <c r="C6" s="158"/>
      <c r="D6" s="158"/>
      <c r="E6" s="159"/>
      <c r="F6" s="160" t="s">
        <v>147</v>
      </c>
      <c r="G6" s="161"/>
      <c r="H6" s="161"/>
      <c r="I6" s="161"/>
      <c r="J6" s="161"/>
      <c r="K6" s="161"/>
      <c r="L6" s="162"/>
    </row>
    <row r="7" spans="1:12" s="163" customFormat="1" ht="15.75" customHeight="1">
      <c r="A7" s="164" t="s">
        <v>5</v>
      </c>
      <c r="B7" s="165"/>
      <c r="C7" s="165"/>
      <c r="D7" s="165"/>
      <c r="E7" s="166"/>
      <c r="F7" s="161"/>
      <c r="G7" s="161"/>
      <c r="H7" s="161"/>
      <c r="I7" s="161"/>
      <c r="J7" s="161"/>
      <c r="K7" s="161"/>
      <c r="L7" s="162"/>
    </row>
    <row r="8" spans="1:12" s="163" customFormat="1" ht="15.75" customHeight="1">
      <c r="A8" s="167" t="s">
        <v>97</v>
      </c>
      <c r="B8" s="168"/>
      <c r="C8" s="168"/>
      <c r="D8" s="168"/>
      <c r="E8" s="169"/>
      <c r="F8" s="161"/>
      <c r="G8" s="161"/>
      <c r="H8" s="161"/>
      <c r="I8" s="161"/>
      <c r="J8" s="161"/>
      <c r="K8" s="161"/>
      <c r="L8" s="162"/>
    </row>
    <row r="9" spans="1:12" s="163" customFormat="1" ht="16.5" customHeight="1" thickBot="1">
      <c r="A9" s="170" t="s">
        <v>190</v>
      </c>
      <c r="B9" s="171"/>
      <c r="C9" s="171"/>
      <c r="D9" s="171"/>
      <c r="E9" s="172"/>
      <c r="F9" s="161"/>
      <c r="G9" s="161"/>
      <c r="H9" s="161"/>
      <c r="I9" s="161"/>
      <c r="J9" s="161"/>
      <c r="K9" s="161"/>
      <c r="L9" s="162"/>
    </row>
    <row r="10" s="156" customFormat="1" ht="12.75"/>
    <row r="11" ht="12.75">
      <c r="A11" s="152" t="s">
        <v>45</v>
      </c>
    </row>
    <row r="12" ht="13.5" thickBot="1"/>
    <row r="13" ht="13.5" thickBot="1">
      <c r="B13" s="173">
        <v>0.009</v>
      </c>
    </row>
    <row r="14" spans="2:10" ht="13.5" thickBot="1">
      <c r="B14" s="174"/>
      <c r="E14" s="175" t="s">
        <v>46</v>
      </c>
      <c r="I14" s="176">
        <v>1</v>
      </c>
      <c r="J14" s="177">
        <f>1+B17+B22+B30</f>
        <v>1.0945</v>
      </c>
    </row>
    <row r="15" spans="1:10" ht="13.5" thickBot="1">
      <c r="A15" s="152" t="s">
        <v>47</v>
      </c>
      <c r="B15" s="174"/>
      <c r="E15" s="175" t="s">
        <v>48</v>
      </c>
      <c r="I15" s="178">
        <v>2</v>
      </c>
      <c r="J15" s="177">
        <f>1+B13</f>
        <v>1.009</v>
      </c>
    </row>
    <row r="16" spans="2:10" ht="13.5" thickBot="1">
      <c r="B16" s="174"/>
      <c r="E16" s="175" t="s">
        <v>49</v>
      </c>
      <c r="I16" s="178">
        <v>3</v>
      </c>
      <c r="J16" s="177">
        <f>1+B26</f>
        <v>1.085</v>
      </c>
    </row>
    <row r="17" spans="2:10" ht="13.5" thickBot="1">
      <c r="B17" s="173">
        <v>0.0105</v>
      </c>
      <c r="E17" s="175" t="s">
        <v>50</v>
      </c>
      <c r="I17" s="179">
        <v>4</v>
      </c>
      <c r="J17" s="177">
        <f>1-C36-E36-G36-C38</f>
        <v>0.9435</v>
      </c>
    </row>
    <row r="18" ht="12.75">
      <c r="B18" s="174"/>
    </row>
    <row r="20" ht="12.75">
      <c r="A20" s="152" t="s">
        <v>51</v>
      </c>
    </row>
    <row r="21" ht="13.5" thickBot="1"/>
    <row r="22" ht="13.5" thickBot="1">
      <c r="B22" s="173">
        <v>0.08</v>
      </c>
    </row>
    <row r="24" ht="12.75">
      <c r="A24" s="152" t="s">
        <v>52</v>
      </c>
    </row>
    <row r="25" ht="13.5" thickBot="1"/>
    <row r="26" ht="13.5" thickBot="1">
      <c r="B26" s="173">
        <v>0.085</v>
      </c>
    </row>
    <row r="28" ht="12.75">
      <c r="A28" s="152" t="s">
        <v>53</v>
      </c>
    </row>
    <row r="29" ht="13.5" thickBot="1"/>
    <row r="30" ht="13.5" thickBot="1">
      <c r="B30" s="173">
        <v>0.004</v>
      </c>
    </row>
    <row r="31" ht="12.75">
      <c r="B31" s="180"/>
    </row>
    <row r="32" spans="1:2" ht="12.75">
      <c r="A32" s="152" t="s">
        <v>54</v>
      </c>
      <c r="B32" s="180"/>
    </row>
    <row r="33" ht="12.75">
      <c r="A33" s="152" t="s">
        <v>55</v>
      </c>
    </row>
    <row r="34" ht="12.75">
      <c r="A34" s="152" t="s">
        <v>56</v>
      </c>
    </row>
    <row r="35" spans="2:7" ht="13.5" thickBot="1">
      <c r="B35" s="183"/>
      <c r="C35" s="183"/>
      <c r="D35" s="183"/>
      <c r="E35" s="183"/>
      <c r="F35" s="183"/>
      <c r="G35" s="183"/>
    </row>
    <row r="36" spans="2:7" ht="13.5" thickBot="1">
      <c r="B36" s="183" t="s">
        <v>57</v>
      </c>
      <c r="C36" s="184">
        <v>0.03</v>
      </c>
      <c r="D36" s="185" t="s">
        <v>58</v>
      </c>
      <c r="E36" s="184">
        <v>0.0065</v>
      </c>
      <c r="F36" s="185" t="s">
        <v>59</v>
      </c>
      <c r="G36" s="184">
        <v>0.02</v>
      </c>
    </row>
    <row r="37" spans="2:7" ht="13.5" thickBot="1">
      <c r="B37" s="183"/>
      <c r="C37" s="183"/>
      <c r="D37" s="183"/>
      <c r="E37" s="183"/>
      <c r="F37" s="183"/>
      <c r="G37" s="183"/>
    </row>
    <row r="38" spans="2:7" ht="13.5" thickBot="1">
      <c r="B38" s="183" t="s">
        <v>60</v>
      </c>
      <c r="C38" s="184">
        <v>0</v>
      </c>
      <c r="D38" s="183"/>
      <c r="E38" s="183"/>
      <c r="F38" s="183"/>
      <c r="G38" s="183"/>
    </row>
    <row r="41" spans="2:4" ht="30">
      <c r="B41" s="181" t="s">
        <v>61</v>
      </c>
      <c r="D41" s="182">
        <f>ROUND(((J14*J15*J16/J17)-1),4)</f>
        <v>0.27</v>
      </c>
    </row>
  </sheetData>
  <sheetProtection password="CCE3" sheet="1"/>
  <mergeCells count="6">
    <mergeCell ref="A9:E9"/>
    <mergeCell ref="F6:L9"/>
    <mergeCell ref="A4:J4"/>
    <mergeCell ref="A6:E6"/>
    <mergeCell ref="A7:E7"/>
    <mergeCell ref="A8:E8"/>
  </mergeCells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4"/>
  <legacyDrawing r:id="rId2"/>
  <legacyDrawingHF r:id="rId3"/>
  <oleObjects>
    <oleObject progId="Word.Picture.8" shapeId="5230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view="pageBreakPreview" zoomScale="75" zoomScaleSheetLayoutView="75" workbookViewId="0" topLeftCell="A88">
      <selection activeCell="D17" sqref="D17"/>
    </sheetView>
  </sheetViews>
  <sheetFormatPr defaultColWidth="9.140625" defaultRowHeight="12.75"/>
  <cols>
    <col min="1" max="1" width="6.7109375" style="49" customWidth="1"/>
    <col min="2" max="2" width="55.7109375" style="49" customWidth="1"/>
    <col min="3" max="3" width="7.7109375" style="49" customWidth="1"/>
    <col min="4" max="4" width="9.7109375" style="49" customWidth="1"/>
    <col min="5" max="5" width="16.421875" style="87" customWidth="1"/>
    <col min="6" max="6" width="12.140625" style="49" customWidth="1"/>
    <col min="7" max="7" width="12.421875" style="49" bestFit="1" customWidth="1"/>
    <col min="8" max="8" width="12.140625" style="49" customWidth="1"/>
    <col min="9" max="9" width="15.57421875" style="88" customWidth="1"/>
    <col min="10" max="16384" width="9.140625" style="49" customWidth="1"/>
  </cols>
  <sheetData>
    <row r="1" spans="2:12" ht="30.75" customHeight="1">
      <c r="B1" s="97" t="s">
        <v>148</v>
      </c>
      <c r="C1" s="97"/>
      <c r="D1" s="97"/>
      <c r="E1" s="97"/>
      <c r="F1" s="97"/>
      <c r="G1" s="97"/>
      <c r="H1" s="97"/>
      <c r="I1" s="97"/>
      <c r="L1" s="50"/>
    </row>
    <row r="2" spans="2:12" ht="52.5" customHeight="1" thickBot="1">
      <c r="B2" s="51"/>
      <c r="C2" s="51"/>
      <c r="D2" s="51"/>
      <c r="E2" s="52"/>
      <c r="F2" s="51"/>
      <c r="G2" s="51"/>
      <c r="H2" s="51"/>
      <c r="I2" s="53"/>
      <c r="L2" s="50"/>
    </row>
    <row r="3" spans="1:12" s="54" customFormat="1" ht="31.5" customHeight="1">
      <c r="A3" s="98" t="s">
        <v>68</v>
      </c>
      <c r="B3" s="99"/>
      <c r="C3" s="99"/>
      <c r="D3" s="99"/>
      <c r="E3" s="99"/>
      <c r="F3" s="99"/>
      <c r="G3" s="99"/>
      <c r="H3" s="99"/>
      <c r="I3" s="100"/>
      <c r="L3" s="50"/>
    </row>
    <row r="4" spans="1:12" s="54" customFormat="1" ht="9.75" customHeight="1">
      <c r="A4" s="101"/>
      <c r="B4" s="102"/>
      <c r="C4" s="102"/>
      <c r="D4" s="102"/>
      <c r="E4" s="102"/>
      <c r="F4" s="102"/>
      <c r="G4" s="102"/>
      <c r="H4" s="102"/>
      <c r="I4" s="103"/>
      <c r="L4" s="50"/>
    </row>
    <row r="5" spans="1:12" s="55" customFormat="1" ht="15.75" customHeight="1">
      <c r="A5" s="104" t="s">
        <v>148</v>
      </c>
      <c r="B5" s="104"/>
      <c r="C5" s="105" t="s">
        <v>147</v>
      </c>
      <c r="D5" s="106"/>
      <c r="E5" s="106"/>
      <c r="F5" s="106"/>
      <c r="G5" s="106"/>
      <c r="H5" s="106"/>
      <c r="I5" s="106"/>
      <c r="L5" s="56"/>
    </row>
    <row r="6" spans="1:12" s="55" customFormat="1" ht="15.75">
      <c r="A6" s="104" t="s">
        <v>149</v>
      </c>
      <c r="B6" s="104"/>
      <c r="C6" s="106"/>
      <c r="D6" s="106"/>
      <c r="E6" s="106"/>
      <c r="F6" s="106"/>
      <c r="G6" s="106"/>
      <c r="H6" s="106"/>
      <c r="I6" s="106"/>
      <c r="L6" s="56"/>
    </row>
    <row r="7" spans="1:12" s="55" customFormat="1" ht="15.75" customHeight="1">
      <c r="A7" s="104" t="s">
        <v>6</v>
      </c>
      <c r="B7" s="107"/>
      <c r="C7" s="106"/>
      <c r="D7" s="106"/>
      <c r="E7" s="106"/>
      <c r="F7" s="106"/>
      <c r="G7" s="106"/>
      <c r="H7" s="106"/>
      <c r="I7" s="106"/>
      <c r="L7" s="56"/>
    </row>
    <row r="8" spans="1:12" s="55" customFormat="1" ht="15.75" customHeight="1">
      <c r="A8" s="104" t="s">
        <v>188</v>
      </c>
      <c r="B8" s="104"/>
      <c r="C8" s="106"/>
      <c r="D8" s="106"/>
      <c r="E8" s="106"/>
      <c r="F8" s="106"/>
      <c r="G8" s="106"/>
      <c r="H8" s="106"/>
      <c r="I8" s="106"/>
      <c r="L8" s="56"/>
    </row>
    <row r="9" spans="1:9" s="55" customFormat="1" ht="31.5" customHeight="1">
      <c r="A9" s="94" t="s">
        <v>7</v>
      </c>
      <c r="B9" s="94" t="s">
        <v>69</v>
      </c>
      <c r="C9" s="94" t="s">
        <v>67</v>
      </c>
      <c r="D9" s="94" t="s">
        <v>153</v>
      </c>
      <c r="E9" s="95" t="s">
        <v>152</v>
      </c>
      <c r="F9" s="94" t="s">
        <v>150</v>
      </c>
      <c r="G9" s="94"/>
      <c r="H9" s="57" t="s">
        <v>195</v>
      </c>
      <c r="I9" s="89"/>
    </row>
    <row r="10" spans="1:9" s="55" customFormat="1" ht="31.5">
      <c r="A10" s="94"/>
      <c r="B10" s="94"/>
      <c r="C10" s="94"/>
      <c r="D10" s="94"/>
      <c r="E10" s="95"/>
      <c r="F10" s="58" t="s">
        <v>151</v>
      </c>
      <c r="G10" s="59" t="s">
        <v>33</v>
      </c>
      <c r="H10" s="58" t="s">
        <v>151</v>
      </c>
      <c r="I10" s="60" t="s">
        <v>33</v>
      </c>
    </row>
    <row r="11" spans="1:9" s="62" customFormat="1" ht="15.75">
      <c r="A11" s="61">
        <v>1</v>
      </c>
      <c r="B11" s="96" t="s">
        <v>123</v>
      </c>
      <c r="C11" s="96"/>
      <c r="D11" s="96"/>
      <c r="E11" s="96"/>
      <c r="F11" s="96"/>
      <c r="G11" s="96"/>
      <c r="H11" s="96"/>
      <c r="I11" s="96"/>
    </row>
    <row r="12" spans="1:9" s="62" customFormat="1" ht="42.75">
      <c r="A12" s="63" t="s">
        <v>8</v>
      </c>
      <c r="B12" s="64" t="s">
        <v>125</v>
      </c>
      <c r="C12" s="63" t="s">
        <v>96</v>
      </c>
      <c r="D12" s="65">
        <f>1*8*6</f>
        <v>48</v>
      </c>
      <c r="E12" s="46" t="s">
        <v>171</v>
      </c>
      <c r="F12" s="66">
        <v>140</v>
      </c>
      <c r="G12" s="66">
        <f>D12*F12</f>
        <v>6720</v>
      </c>
      <c r="H12" s="66">
        <f>F12*(1+$I$9)</f>
        <v>140</v>
      </c>
      <c r="I12" s="67">
        <f>D12*H12</f>
        <v>6720</v>
      </c>
    </row>
    <row r="13" spans="1:9" s="62" customFormat="1" ht="42.75">
      <c r="A13" s="63" t="s">
        <v>9</v>
      </c>
      <c r="B13" s="64" t="s">
        <v>126</v>
      </c>
      <c r="C13" s="63" t="s">
        <v>96</v>
      </c>
      <c r="D13" s="65">
        <v>88</v>
      </c>
      <c r="E13" s="68" t="s">
        <v>177</v>
      </c>
      <c r="F13" s="66">
        <v>86.15</v>
      </c>
      <c r="G13" s="66">
        <f aca="true" t="shared" si="0" ref="G13:G21">D13*F13</f>
        <v>7581.200000000001</v>
      </c>
      <c r="H13" s="66">
        <f aca="true" t="shared" si="1" ref="H13:H21">F13*(1+$I$9)</f>
        <v>86.15</v>
      </c>
      <c r="I13" s="67">
        <f aca="true" t="shared" si="2" ref="I13:I21">D13*H13</f>
        <v>7581.200000000001</v>
      </c>
    </row>
    <row r="14" spans="1:9" s="69" customFormat="1" ht="28.5">
      <c r="A14" s="63" t="s">
        <v>79</v>
      </c>
      <c r="B14" s="64" t="s">
        <v>124</v>
      </c>
      <c r="C14" s="63" t="s">
        <v>96</v>
      </c>
      <c r="D14" s="65">
        <f>1*8*7</f>
        <v>56</v>
      </c>
      <c r="E14" s="68" t="s">
        <v>177</v>
      </c>
      <c r="F14" s="66">
        <v>86.15</v>
      </c>
      <c r="G14" s="66">
        <f t="shared" si="0"/>
        <v>4824.400000000001</v>
      </c>
      <c r="H14" s="66">
        <f t="shared" si="1"/>
        <v>86.15</v>
      </c>
      <c r="I14" s="67">
        <f t="shared" si="2"/>
        <v>4824.400000000001</v>
      </c>
    </row>
    <row r="15" spans="1:9" s="62" customFormat="1" ht="15">
      <c r="A15" s="63" t="s">
        <v>80</v>
      </c>
      <c r="B15" s="70" t="s">
        <v>91</v>
      </c>
      <c r="C15" s="63" t="s">
        <v>96</v>
      </c>
      <c r="D15" s="65">
        <f>1*8*7</f>
        <v>56</v>
      </c>
      <c r="E15" s="68" t="s">
        <v>181</v>
      </c>
      <c r="F15" s="66">
        <v>8.28</v>
      </c>
      <c r="G15" s="66">
        <f t="shared" si="0"/>
        <v>463.67999999999995</v>
      </c>
      <c r="H15" s="66">
        <f t="shared" si="1"/>
        <v>8.28</v>
      </c>
      <c r="I15" s="67">
        <f t="shared" si="2"/>
        <v>463.67999999999995</v>
      </c>
    </row>
    <row r="16" spans="1:9" s="69" customFormat="1" ht="15">
      <c r="A16" s="63" t="s">
        <v>81</v>
      </c>
      <c r="B16" s="70" t="s">
        <v>92</v>
      </c>
      <c r="C16" s="63" t="s">
        <v>96</v>
      </c>
      <c r="D16" s="65">
        <f>1*8*5</f>
        <v>40</v>
      </c>
      <c r="E16" s="68" t="s">
        <v>181</v>
      </c>
      <c r="F16" s="66">
        <v>8.28</v>
      </c>
      <c r="G16" s="66">
        <f t="shared" si="0"/>
        <v>331.2</v>
      </c>
      <c r="H16" s="66">
        <f t="shared" si="1"/>
        <v>8.28</v>
      </c>
      <c r="I16" s="67">
        <f t="shared" si="2"/>
        <v>331.2</v>
      </c>
    </row>
    <row r="17" spans="1:9" s="62" customFormat="1" ht="15">
      <c r="A17" s="63" t="s">
        <v>82</v>
      </c>
      <c r="B17" s="70" t="s">
        <v>93</v>
      </c>
      <c r="C17" s="63" t="s">
        <v>96</v>
      </c>
      <c r="D17" s="65">
        <v>45</v>
      </c>
      <c r="E17" s="68" t="s">
        <v>169</v>
      </c>
      <c r="F17" s="66">
        <v>8.28</v>
      </c>
      <c r="G17" s="66">
        <f t="shared" si="0"/>
        <v>372.59999999999997</v>
      </c>
      <c r="H17" s="66">
        <f t="shared" si="1"/>
        <v>8.28</v>
      </c>
      <c r="I17" s="67">
        <f t="shared" si="2"/>
        <v>372.59999999999997</v>
      </c>
    </row>
    <row r="18" spans="1:9" s="62" customFormat="1" ht="15">
      <c r="A18" s="63" t="s">
        <v>83</v>
      </c>
      <c r="B18" s="70" t="s">
        <v>94</v>
      </c>
      <c r="C18" s="63" t="s">
        <v>96</v>
      </c>
      <c r="D18" s="65">
        <f>8*2*1</f>
        <v>16</v>
      </c>
      <c r="E18" s="68" t="s">
        <v>170</v>
      </c>
      <c r="F18" s="66">
        <v>8.64</v>
      </c>
      <c r="G18" s="66">
        <f t="shared" si="0"/>
        <v>138.24</v>
      </c>
      <c r="H18" s="66">
        <f t="shared" si="1"/>
        <v>8.64</v>
      </c>
      <c r="I18" s="67">
        <f t="shared" si="2"/>
        <v>138.24</v>
      </c>
    </row>
    <row r="19" spans="1:9" s="62" customFormat="1" ht="15">
      <c r="A19" s="63" t="s">
        <v>84</v>
      </c>
      <c r="B19" s="70" t="s">
        <v>95</v>
      </c>
      <c r="C19" s="63" t="s">
        <v>96</v>
      </c>
      <c r="D19" s="65">
        <v>38</v>
      </c>
      <c r="E19" s="68" t="s">
        <v>194</v>
      </c>
      <c r="F19" s="66">
        <v>6.35</v>
      </c>
      <c r="G19" s="66">
        <f t="shared" si="0"/>
        <v>241.29999999999998</v>
      </c>
      <c r="H19" s="66">
        <f t="shared" si="1"/>
        <v>6.35</v>
      </c>
      <c r="I19" s="67">
        <f t="shared" si="2"/>
        <v>241.29999999999998</v>
      </c>
    </row>
    <row r="20" spans="1:9" s="62" customFormat="1" ht="15">
      <c r="A20" s="63" t="s">
        <v>164</v>
      </c>
      <c r="B20" s="70" t="s">
        <v>166</v>
      </c>
      <c r="C20" s="63" t="s">
        <v>168</v>
      </c>
      <c r="D20" s="65">
        <f>8/30</f>
        <v>0.26666666666666666</v>
      </c>
      <c r="E20" s="47" t="s">
        <v>174</v>
      </c>
      <c r="F20" s="66">
        <v>500</v>
      </c>
      <c r="G20" s="66">
        <f t="shared" si="0"/>
        <v>133.33333333333334</v>
      </c>
      <c r="H20" s="66">
        <f t="shared" si="1"/>
        <v>500</v>
      </c>
      <c r="I20" s="67">
        <f t="shared" si="2"/>
        <v>133.33333333333334</v>
      </c>
    </row>
    <row r="21" spans="1:9" s="62" customFormat="1" ht="15">
      <c r="A21" s="63" t="s">
        <v>165</v>
      </c>
      <c r="B21" s="70" t="s">
        <v>167</v>
      </c>
      <c r="C21" s="63" t="s">
        <v>168</v>
      </c>
      <c r="D21" s="65">
        <f>8/30</f>
        <v>0.26666666666666666</v>
      </c>
      <c r="E21" s="47" t="s">
        <v>175</v>
      </c>
      <c r="F21" s="66">
        <v>250</v>
      </c>
      <c r="G21" s="66">
        <f t="shared" si="0"/>
        <v>66.66666666666667</v>
      </c>
      <c r="H21" s="66">
        <f t="shared" si="1"/>
        <v>250</v>
      </c>
      <c r="I21" s="67">
        <f t="shared" si="2"/>
        <v>66.66666666666667</v>
      </c>
    </row>
    <row r="22" spans="1:9" s="55" customFormat="1" ht="20.25" customHeight="1">
      <c r="A22" s="63"/>
      <c r="B22" s="71" t="s">
        <v>70</v>
      </c>
      <c r="C22" s="63"/>
      <c r="D22" s="65"/>
      <c r="E22" s="68"/>
      <c r="F22" s="66"/>
      <c r="G22" s="72">
        <f>SUM(G12:G21)</f>
        <v>20872.620000000003</v>
      </c>
      <c r="H22" s="72"/>
      <c r="I22" s="73">
        <f>SUM(I12:I21)</f>
        <v>20872.620000000003</v>
      </c>
    </row>
    <row r="23" spans="1:9" s="62" customFormat="1" ht="39.75" customHeight="1">
      <c r="A23" s="61">
        <v>2</v>
      </c>
      <c r="B23" s="91" t="s">
        <v>134</v>
      </c>
      <c r="C23" s="91"/>
      <c r="D23" s="91"/>
      <c r="E23" s="91"/>
      <c r="F23" s="91"/>
      <c r="G23" s="91"/>
      <c r="H23" s="91"/>
      <c r="I23" s="91"/>
    </row>
    <row r="24" spans="1:9" s="62" customFormat="1" ht="42.75">
      <c r="A24" s="63" t="s">
        <v>10</v>
      </c>
      <c r="B24" s="64" t="s">
        <v>125</v>
      </c>
      <c r="C24" s="63" t="s">
        <v>96</v>
      </c>
      <c r="D24" s="65">
        <f>1*8*17</f>
        <v>136</v>
      </c>
      <c r="E24" s="46" t="s">
        <v>171</v>
      </c>
      <c r="F24" s="66">
        <v>140</v>
      </c>
      <c r="G24" s="66">
        <f>D24*F24</f>
        <v>19040</v>
      </c>
      <c r="H24" s="66">
        <f aca="true" t="shared" si="3" ref="H24:H50">F24*(1+$I$9)</f>
        <v>140</v>
      </c>
      <c r="I24" s="67">
        <f>D24*H24</f>
        <v>19040</v>
      </c>
    </row>
    <row r="25" spans="1:9" s="62" customFormat="1" ht="42.75">
      <c r="A25" s="63" t="s">
        <v>11</v>
      </c>
      <c r="B25" s="64" t="s">
        <v>126</v>
      </c>
      <c r="C25" s="63" t="s">
        <v>96</v>
      </c>
      <c r="D25" s="65">
        <v>214</v>
      </c>
      <c r="E25" s="68" t="s">
        <v>177</v>
      </c>
      <c r="F25" s="66">
        <v>86.15</v>
      </c>
      <c r="G25" s="66">
        <f aca="true" t="shared" si="4" ref="G25:G50">D25*F25</f>
        <v>18436.100000000002</v>
      </c>
      <c r="H25" s="66">
        <f t="shared" si="3"/>
        <v>86.15</v>
      </c>
      <c r="I25" s="67">
        <f aca="true" t="shared" si="5" ref="I25:I50">D25*H25</f>
        <v>18436.100000000002</v>
      </c>
    </row>
    <row r="26" spans="1:9" s="69" customFormat="1" ht="28.5">
      <c r="A26" s="63" t="s">
        <v>12</v>
      </c>
      <c r="B26" s="64" t="s">
        <v>124</v>
      </c>
      <c r="C26" s="63" t="s">
        <v>96</v>
      </c>
      <c r="D26" s="65">
        <f>1*8*17</f>
        <v>136</v>
      </c>
      <c r="E26" s="68" t="s">
        <v>177</v>
      </c>
      <c r="F26" s="66">
        <v>86.15</v>
      </c>
      <c r="G26" s="66">
        <f t="shared" si="4"/>
        <v>11716.400000000001</v>
      </c>
      <c r="H26" s="66">
        <f t="shared" si="3"/>
        <v>86.15</v>
      </c>
      <c r="I26" s="67">
        <f t="shared" si="5"/>
        <v>11716.400000000001</v>
      </c>
    </row>
    <row r="27" spans="1:9" s="62" customFormat="1" ht="42.75">
      <c r="A27" s="63" t="s">
        <v>13</v>
      </c>
      <c r="B27" s="74" t="s">
        <v>135</v>
      </c>
      <c r="C27" s="63" t="s">
        <v>96</v>
      </c>
      <c r="D27" s="65">
        <f>1*8*10</f>
        <v>80</v>
      </c>
      <c r="E27" s="68" t="s">
        <v>177</v>
      </c>
      <c r="F27" s="66">
        <v>86.15</v>
      </c>
      <c r="G27" s="66">
        <f t="shared" si="4"/>
        <v>6892</v>
      </c>
      <c r="H27" s="66">
        <f t="shared" si="3"/>
        <v>86.15</v>
      </c>
      <c r="I27" s="67">
        <f t="shared" si="5"/>
        <v>6892</v>
      </c>
    </row>
    <row r="28" spans="1:9" s="62" customFormat="1" ht="28.5">
      <c r="A28" s="63" t="s">
        <v>29</v>
      </c>
      <c r="B28" s="74" t="s">
        <v>139</v>
      </c>
      <c r="C28" s="63" t="s">
        <v>96</v>
      </c>
      <c r="D28" s="65">
        <f>1*8*10</f>
        <v>80</v>
      </c>
      <c r="E28" s="68" t="s">
        <v>177</v>
      </c>
      <c r="F28" s="66">
        <v>86.15</v>
      </c>
      <c r="G28" s="66">
        <f t="shared" si="4"/>
        <v>6892</v>
      </c>
      <c r="H28" s="66">
        <f t="shared" si="3"/>
        <v>86.15</v>
      </c>
      <c r="I28" s="67">
        <f t="shared" si="5"/>
        <v>6892</v>
      </c>
    </row>
    <row r="29" spans="1:9" s="69" customFormat="1" ht="28.5">
      <c r="A29" s="63" t="s">
        <v>30</v>
      </c>
      <c r="B29" s="74" t="s">
        <v>136</v>
      </c>
      <c r="C29" s="63" t="s">
        <v>96</v>
      </c>
      <c r="D29" s="65">
        <f>1*8*10</f>
        <v>80</v>
      </c>
      <c r="E29" s="47" t="s">
        <v>172</v>
      </c>
      <c r="F29" s="66">
        <v>86.67</v>
      </c>
      <c r="G29" s="66">
        <f t="shared" si="4"/>
        <v>6933.6</v>
      </c>
      <c r="H29" s="66">
        <f t="shared" si="3"/>
        <v>86.67</v>
      </c>
      <c r="I29" s="67">
        <f t="shared" si="5"/>
        <v>6933.6</v>
      </c>
    </row>
    <row r="30" spans="1:9" s="69" customFormat="1" ht="28.5">
      <c r="A30" s="63" t="s">
        <v>31</v>
      </c>
      <c r="B30" s="74" t="s">
        <v>137</v>
      </c>
      <c r="C30" s="63" t="s">
        <v>96</v>
      </c>
      <c r="D30" s="65">
        <f>1*8*5*1.5</f>
        <v>60</v>
      </c>
      <c r="E30" s="47" t="s">
        <v>193</v>
      </c>
      <c r="F30" s="66">
        <v>78.69</v>
      </c>
      <c r="G30" s="66">
        <f t="shared" si="4"/>
        <v>4721.4</v>
      </c>
      <c r="H30" s="66">
        <f t="shared" si="3"/>
        <v>78.69</v>
      </c>
      <c r="I30" s="67">
        <f t="shared" si="5"/>
        <v>4721.4</v>
      </c>
    </row>
    <row r="31" spans="1:9" s="69" customFormat="1" ht="28.5">
      <c r="A31" s="63" t="s">
        <v>32</v>
      </c>
      <c r="B31" s="74" t="s">
        <v>138</v>
      </c>
      <c r="C31" s="63" t="s">
        <v>96</v>
      </c>
      <c r="D31" s="65">
        <v>56</v>
      </c>
      <c r="E31" s="47" t="s">
        <v>193</v>
      </c>
      <c r="F31" s="66">
        <v>78.69</v>
      </c>
      <c r="G31" s="66">
        <f t="shared" si="4"/>
        <v>4406.639999999999</v>
      </c>
      <c r="H31" s="66">
        <f t="shared" si="3"/>
        <v>78.69</v>
      </c>
      <c r="I31" s="67">
        <f t="shared" si="5"/>
        <v>4406.639999999999</v>
      </c>
    </row>
    <row r="32" spans="1:9" s="62" customFormat="1" ht="15">
      <c r="A32" s="63" t="s">
        <v>72</v>
      </c>
      <c r="B32" s="70" t="s">
        <v>128</v>
      </c>
      <c r="C32" s="63" t="s">
        <v>96</v>
      </c>
      <c r="D32" s="65">
        <v>172</v>
      </c>
      <c r="E32" s="68" t="s">
        <v>176</v>
      </c>
      <c r="F32" s="66">
        <v>45.1</v>
      </c>
      <c r="G32" s="66">
        <f t="shared" si="4"/>
        <v>7757.2</v>
      </c>
      <c r="H32" s="66">
        <f t="shared" si="3"/>
        <v>45.1</v>
      </c>
      <c r="I32" s="67">
        <f t="shared" si="5"/>
        <v>7757.2</v>
      </c>
    </row>
    <row r="33" spans="1:9" s="62" customFormat="1" ht="15">
      <c r="A33" s="63" t="s">
        <v>73</v>
      </c>
      <c r="B33" s="70" t="s">
        <v>127</v>
      </c>
      <c r="C33" s="63" t="s">
        <v>96</v>
      </c>
      <c r="D33" s="65">
        <f>1*8*22</f>
        <v>176</v>
      </c>
      <c r="E33" s="68" t="s">
        <v>176</v>
      </c>
      <c r="F33" s="66">
        <v>45.1</v>
      </c>
      <c r="G33" s="66">
        <f t="shared" si="4"/>
        <v>7937.6</v>
      </c>
      <c r="H33" s="66">
        <f t="shared" si="3"/>
        <v>45.1</v>
      </c>
      <c r="I33" s="67">
        <f t="shared" si="5"/>
        <v>7937.6</v>
      </c>
    </row>
    <row r="34" spans="1:9" s="69" customFormat="1" ht="28.5">
      <c r="A34" s="63" t="s">
        <v>74</v>
      </c>
      <c r="B34" s="70" t="s">
        <v>191</v>
      </c>
      <c r="C34" s="63" t="s">
        <v>96</v>
      </c>
      <c r="D34" s="65">
        <f>1*8*15</f>
        <v>120</v>
      </c>
      <c r="E34" s="68" t="s">
        <v>177</v>
      </c>
      <c r="F34" s="66">
        <v>86.15</v>
      </c>
      <c r="G34" s="66">
        <f t="shared" si="4"/>
        <v>10338</v>
      </c>
      <c r="H34" s="66">
        <f t="shared" si="3"/>
        <v>86.15</v>
      </c>
      <c r="I34" s="67">
        <f t="shared" si="5"/>
        <v>10338</v>
      </c>
    </row>
    <row r="35" spans="1:9" s="69" customFormat="1" ht="15">
      <c r="A35" s="63" t="s">
        <v>75</v>
      </c>
      <c r="B35" s="70" t="s">
        <v>129</v>
      </c>
      <c r="C35" s="63" t="s">
        <v>96</v>
      </c>
      <c r="D35" s="65">
        <f>1*8*10*2</f>
        <v>160</v>
      </c>
      <c r="E35" s="68" t="s">
        <v>177</v>
      </c>
      <c r="F35" s="66">
        <v>86.15</v>
      </c>
      <c r="G35" s="66">
        <f t="shared" si="4"/>
        <v>13784</v>
      </c>
      <c r="H35" s="66">
        <f t="shared" si="3"/>
        <v>86.15</v>
      </c>
      <c r="I35" s="67">
        <f t="shared" si="5"/>
        <v>13784</v>
      </c>
    </row>
    <row r="36" spans="1:9" s="69" customFormat="1" ht="15">
      <c r="A36" s="63" t="s">
        <v>76</v>
      </c>
      <c r="B36" s="70" t="s">
        <v>131</v>
      </c>
      <c r="C36" s="63" t="s">
        <v>96</v>
      </c>
      <c r="D36" s="65">
        <f>1*8*2*6.5</f>
        <v>104</v>
      </c>
      <c r="E36" s="47" t="s">
        <v>192</v>
      </c>
      <c r="F36" s="66">
        <v>86.86</v>
      </c>
      <c r="G36" s="66">
        <f t="shared" si="4"/>
        <v>9033.44</v>
      </c>
      <c r="H36" s="66">
        <f t="shared" si="3"/>
        <v>86.86</v>
      </c>
      <c r="I36" s="67">
        <f t="shared" si="5"/>
        <v>9033.44</v>
      </c>
    </row>
    <row r="37" spans="1:9" s="62" customFormat="1" ht="15">
      <c r="A37" s="63" t="s">
        <v>98</v>
      </c>
      <c r="B37" s="70" t="s">
        <v>132</v>
      </c>
      <c r="C37" s="63" t="s">
        <v>96</v>
      </c>
      <c r="D37" s="65">
        <f>1*8*2*9.375</f>
        <v>150</v>
      </c>
      <c r="E37" s="47" t="s">
        <v>173</v>
      </c>
      <c r="F37" s="66">
        <v>25.54</v>
      </c>
      <c r="G37" s="66">
        <f t="shared" si="4"/>
        <v>3831</v>
      </c>
      <c r="H37" s="66">
        <f t="shared" si="3"/>
        <v>25.54</v>
      </c>
      <c r="I37" s="67">
        <f t="shared" si="5"/>
        <v>3831</v>
      </c>
    </row>
    <row r="38" spans="1:9" s="62" customFormat="1" ht="15">
      <c r="A38" s="63" t="s">
        <v>99</v>
      </c>
      <c r="B38" s="70" t="s">
        <v>133</v>
      </c>
      <c r="C38" s="63" t="s">
        <v>96</v>
      </c>
      <c r="D38" s="65">
        <f>1*8*2*9.375</f>
        <v>150</v>
      </c>
      <c r="E38" s="68" t="s">
        <v>178</v>
      </c>
      <c r="F38" s="66">
        <v>7.22</v>
      </c>
      <c r="G38" s="66">
        <f t="shared" si="4"/>
        <v>1083</v>
      </c>
      <c r="H38" s="66">
        <f t="shared" si="3"/>
        <v>7.22</v>
      </c>
      <c r="I38" s="67">
        <f t="shared" si="5"/>
        <v>1083</v>
      </c>
    </row>
    <row r="39" spans="1:9" s="62" customFormat="1" ht="15">
      <c r="A39" s="63" t="s">
        <v>100</v>
      </c>
      <c r="B39" s="70" t="s">
        <v>130</v>
      </c>
      <c r="C39" s="63" t="s">
        <v>96</v>
      </c>
      <c r="D39" s="65">
        <f>2*8*15</f>
        <v>240</v>
      </c>
      <c r="E39" s="68" t="s">
        <v>179</v>
      </c>
      <c r="F39" s="66">
        <v>4.57</v>
      </c>
      <c r="G39" s="66">
        <f t="shared" si="4"/>
        <v>1096.8000000000002</v>
      </c>
      <c r="H39" s="66">
        <f t="shared" si="3"/>
        <v>4.57</v>
      </c>
      <c r="I39" s="67">
        <f t="shared" si="5"/>
        <v>1096.8000000000002</v>
      </c>
    </row>
    <row r="40" spans="1:9" s="62" customFormat="1" ht="15">
      <c r="A40" s="63" t="s">
        <v>101</v>
      </c>
      <c r="B40" s="70" t="s">
        <v>89</v>
      </c>
      <c r="C40" s="63" t="s">
        <v>96</v>
      </c>
      <c r="D40" s="65">
        <f>1*8*22</f>
        <v>176</v>
      </c>
      <c r="E40" s="68" t="s">
        <v>180</v>
      </c>
      <c r="F40" s="66">
        <v>16.18</v>
      </c>
      <c r="G40" s="66">
        <f t="shared" si="4"/>
        <v>2847.68</v>
      </c>
      <c r="H40" s="66">
        <f t="shared" si="3"/>
        <v>16.18</v>
      </c>
      <c r="I40" s="67">
        <f t="shared" si="5"/>
        <v>2847.68</v>
      </c>
    </row>
    <row r="41" spans="1:9" s="69" customFormat="1" ht="15">
      <c r="A41" s="63" t="s">
        <v>102</v>
      </c>
      <c r="B41" s="70" t="s">
        <v>90</v>
      </c>
      <c r="C41" s="63" t="s">
        <v>96</v>
      </c>
      <c r="D41" s="65">
        <v>170</v>
      </c>
      <c r="E41" s="47" t="s">
        <v>173</v>
      </c>
      <c r="F41" s="66">
        <v>25.54</v>
      </c>
      <c r="G41" s="66">
        <f t="shared" si="4"/>
        <v>4341.8</v>
      </c>
      <c r="H41" s="66">
        <f t="shared" si="3"/>
        <v>25.54</v>
      </c>
      <c r="I41" s="67">
        <f t="shared" si="5"/>
        <v>4341.8</v>
      </c>
    </row>
    <row r="42" spans="1:9" s="62" customFormat="1" ht="15">
      <c r="A42" s="63" t="s">
        <v>103</v>
      </c>
      <c r="B42" s="70" t="s">
        <v>91</v>
      </c>
      <c r="C42" s="63" t="s">
        <v>96</v>
      </c>
      <c r="D42" s="65">
        <f>1*8*22</f>
        <v>176</v>
      </c>
      <c r="E42" s="68" t="s">
        <v>181</v>
      </c>
      <c r="F42" s="66">
        <v>8.28</v>
      </c>
      <c r="G42" s="66">
        <f t="shared" si="4"/>
        <v>1457.28</v>
      </c>
      <c r="H42" s="66">
        <f t="shared" si="3"/>
        <v>8.28</v>
      </c>
      <c r="I42" s="67">
        <f t="shared" si="5"/>
        <v>1457.28</v>
      </c>
    </row>
    <row r="43" spans="1:9" s="69" customFormat="1" ht="15">
      <c r="A43" s="63" t="s">
        <v>104</v>
      </c>
      <c r="B43" s="70" t="s">
        <v>92</v>
      </c>
      <c r="C43" s="63" t="s">
        <v>96</v>
      </c>
      <c r="D43" s="65">
        <f>1*8*22</f>
        <v>176</v>
      </c>
      <c r="E43" s="68" t="s">
        <v>181</v>
      </c>
      <c r="F43" s="66">
        <v>8.28</v>
      </c>
      <c r="G43" s="66">
        <f t="shared" si="4"/>
        <v>1457.28</v>
      </c>
      <c r="H43" s="66">
        <f t="shared" si="3"/>
        <v>8.28</v>
      </c>
      <c r="I43" s="67">
        <f t="shared" si="5"/>
        <v>1457.28</v>
      </c>
    </row>
    <row r="44" spans="1:9" s="62" customFormat="1" ht="15">
      <c r="A44" s="63" t="s">
        <v>105</v>
      </c>
      <c r="B44" s="70" t="s">
        <v>93</v>
      </c>
      <c r="C44" s="63" t="s">
        <v>96</v>
      </c>
      <c r="D44" s="65">
        <v>280</v>
      </c>
      <c r="E44" s="68" t="s">
        <v>181</v>
      </c>
      <c r="F44" s="66">
        <v>8.28</v>
      </c>
      <c r="G44" s="66">
        <f t="shared" si="4"/>
        <v>2318.3999999999996</v>
      </c>
      <c r="H44" s="66">
        <f t="shared" si="3"/>
        <v>8.28</v>
      </c>
      <c r="I44" s="67">
        <f t="shared" si="5"/>
        <v>2318.3999999999996</v>
      </c>
    </row>
    <row r="45" spans="1:9" s="62" customFormat="1" ht="15">
      <c r="A45" s="63" t="s">
        <v>106</v>
      </c>
      <c r="B45" s="70" t="s">
        <v>94</v>
      </c>
      <c r="C45" s="63" t="s">
        <v>96</v>
      </c>
      <c r="D45" s="65">
        <f>1*8*15</f>
        <v>120</v>
      </c>
      <c r="E45" s="68" t="s">
        <v>182</v>
      </c>
      <c r="F45" s="66">
        <v>8.64</v>
      </c>
      <c r="G45" s="66">
        <f t="shared" si="4"/>
        <v>1036.8000000000002</v>
      </c>
      <c r="H45" s="66">
        <f t="shared" si="3"/>
        <v>8.64</v>
      </c>
      <c r="I45" s="67">
        <f t="shared" si="5"/>
        <v>1036.8000000000002</v>
      </c>
    </row>
    <row r="46" spans="1:9" s="62" customFormat="1" ht="15">
      <c r="A46" s="63" t="s">
        <v>154</v>
      </c>
      <c r="B46" s="70" t="s">
        <v>95</v>
      </c>
      <c r="C46" s="63" t="s">
        <v>96</v>
      </c>
      <c r="D46" s="65">
        <v>116</v>
      </c>
      <c r="E46" s="68" t="s">
        <v>194</v>
      </c>
      <c r="F46" s="66">
        <v>6.35</v>
      </c>
      <c r="G46" s="66">
        <f t="shared" si="4"/>
        <v>736.5999999999999</v>
      </c>
      <c r="H46" s="66">
        <f t="shared" si="3"/>
        <v>6.35</v>
      </c>
      <c r="I46" s="67">
        <f t="shared" si="5"/>
        <v>736.5999999999999</v>
      </c>
    </row>
    <row r="47" spans="1:9" s="62" customFormat="1" ht="15">
      <c r="A47" s="63" t="s">
        <v>155</v>
      </c>
      <c r="B47" s="70" t="s">
        <v>166</v>
      </c>
      <c r="C47" s="63" t="s">
        <v>168</v>
      </c>
      <c r="D47" s="65">
        <v>1</v>
      </c>
      <c r="E47" s="47" t="s">
        <v>174</v>
      </c>
      <c r="F47" s="66">
        <v>500</v>
      </c>
      <c r="G47" s="66">
        <f t="shared" si="4"/>
        <v>500</v>
      </c>
      <c r="H47" s="66">
        <f t="shared" si="3"/>
        <v>500</v>
      </c>
      <c r="I47" s="67">
        <f t="shared" si="5"/>
        <v>500</v>
      </c>
    </row>
    <row r="48" spans="1:9" s="62" customFormat="1" ht="15">
      <c r="A48" s="63" t="s">
        <v>156</v>
      </c>
      <c r="B48" s="70" t="s">
        <v>167</v>
      </c>
      <c r="C48" s="63" t="s">
        <v>168</v>
      </c>
      <c r="D48" s="65">
        <v>1</v>
      </c>
      <c r="E48" s="47" t="s">
        <v>175</v>
      </c>
      <c r="F48" s="66">
        <v>250</v>
      </c>
      <c r="G48" s="66">
        <f t="shared" si="4"/>
        <v>250</v>
      </c>
      <c r="H48" s="66">
        <f t="shared" si="3"/>
        <v>250</v>
      </c>
      <c r="I48" s="67">
        <f t="shared" si="5"/>
        <v>250</v>
      </c>
    </row>
    <row r="49" spans="1:9" s="62" customFormat="1" ht="15">
      <c r="A49" s="63" t="s">
        <v>157</v>
      </c>
      <c r="B49" s="70" t="s">
        <v>183</v>
      </c>
      <c r="C49" s="63" t="s">
        <v>186</v>
      </c>
      <c r="D49" s="65">
        <v>15</v>
      </c>
      <c r="E49" s="75" t="s">
        <v>185</v>
      </c>
      <c r="F49" s="66">
        <v>60</v>
      </c>
      <c r="G49" s="66">
        <f t="shared" si="4"/>
        <v>900</v>
      </c>
      <c r="H49" s="66">
        <f t="shared" si="3"/>
        <v>60</v>
      </c>
      <c r="I49" s="67">
        <f t="shared" si="5"/>
        <v>900</v>
      </c>
    </row>
    <row r="50" spans="1:9" s="62" customFormat="1" ht="15">
      <c r="A50" s="63" t="s">
        <v>158</v>
      </c>
      <c r="B50" s="70" t="s">
        <v>184</v>
      </c>
      <c r="C50" s="63" t="s">
        <v>168</v>
      </c>
      <c r="D50" s="65">
        <v>1</v>
      </c>
      <c r="E50" s="46" t="s">
        <v>187</v>
      </c>
      <c r="F50" s="66">
        <v>2520</v>
      </c>
      <c r="G50" s="66">
        <f t="shared" si="4"/>
        <v>2520</v>
      </c>
      <c r="H50" s="66">
        <f t="shared" si="3"/>
        <v>2520</v>
      </c>
      <c r="I50" s="67">
        <f t="shared" si="5"/>
        <v>2520</v>
      </c>
    </row>
    <row r="51" spans="1:9" s="55" customFormat="1" ht="21" customHeight="1">
      <c r="A51" s="63"/>
      <c r="B51" s="71" t="s">
        <v>70</v>
      </c>
      <c r="C51" s="63"/>
      <c r="D51" s="66"/>
      <c r="E51" s="68"/>
      <c r="F51" s="66"/>
      <c r="G51" s="72">
        <f>SUM(G24:G50)</f>
        <v>152265.01999999996</v>
      </c>
      <c r="H51" s="66"/>
      <c r="I51" s="73">
        <f>SUM(I24:I50)</f>
        <v>152265.01999999996</v>
      </c>
    </row>
    <row r="52" spans="1:9" s="62" customFormat="1" ht="15.75">
      <c r="A52" s="61">
        <v>3</v>
      </c>
      <c r="B52" s="96" t="s">
        <v>140</v>
      </c>
      <c r="C52" s="96"/>
      <c r="D52" s="96"/>
      <c r="E52" s="96"/>
      <c r="F52" s="96"/>
      <c r="G52" s="96"/>
      <c r="H52" s="96"/>
      <c r="I52" s="96"/>
    </row>
    <row r="53" spans="1:9" s="62" customFormat="1" ht="42.75">
      <c r="A53" s="63" t="s">
        <v>14</v>
      </c>
      <c r="B53" s="64" t="s">
        <v>125</v>
      </c>
      <c r="C53" s="63" t="s">
        <v>96</v>
      </c>
      <c r="D53" s="65">
        <f>1*8*22</f>
        <v>176</v>
      </c>
      <c r="E53" s="46" t="s">
        <v>171</v>
      </c>
      <c r="F53" s="66">
        <v>140</v>
      </c>
      <c r="G53" s="66">
        <f>D53*F53</f>
        <v>24640</v>
      </c>
      <c r="H53" s="66">
        <f aca="true" t="shared" si="6" ref="H53:H79">F53*(1+$I$9)</f>
        <v>140</v>
      </c>
      <c r="I53" s="67">
        <f>D53*H53</f>
        <v>24640</v>
      </c>
    </row>
    <row r="54" spans="1:9" s="62" customFormat="1" ht="42.75">
      <c r="A54" s="63" t="s">
        <v>15</v>
      </c>
      <c r="B54" s="64" t="s">
        <v>126</v>
      </c>
      <c r="C54" s="63" t="s">
        <v>96</v>
      </c>
      <c r="D54" s="65">
        <v>277</v>
      </c>
      <c r="E54" s="68" t="s">
        <v>177</v>
      </c>
      <c r="F54" s="66">
        <v>86.15</v>
      </c>
      <c r="G54" s="66">
        <f aca="true" t="shared" si="7" ref="G54:G79">D54*F54</f>
        <v>23863.550000000003</v>
      </c>
      <c r="H54" s="66">
        <f t="shared" si="6"/>
        <v>86.15</v>
      </c>
      <c r="I54" s="67">
        <f aca="true" t="shared" si="8" ref="I54:I79">D54*H54</f>
        <v>23863.550000000003</v>
      </c>
    </row>
    <row r="55" spans="1:9" s="69" customFormat="1" ht="28.5">
      <c r="A55" s="63" t="s">
        <v>16</v>
      </c>
      <c r="B55" s="64" t="s">
        <v>124</v>
      </c>
      <c r="C55" s="63" t="s">
        <v>96</v>
      </c>
      <c r="D55" s="65">
        <f>1*8*22</f>
        <v>176</v>
      </c>
      <c r="E55" s="68" t="s">
        <v>177</v>
      </c>
      <c r="F55" s="66">
        <v>86.15</v>
      </c>
      <c r="G55" s="66">
        <f t="shared" si="7"/>
        <v>15162.400000000001</v>
      </c>
      <c r="H55" s="66">
        <f t="shared" si="6"/>
        <v>86.15</v>
      </c>
      <c r="I55" s="67">
        <f t="shared" si="8"/>
        <v>15162.400000000001</v>
      </c>
    </row>
    <row r="56" spans="1:9" s="62" customFormat="1" ht="42.75">
      <c r="A56" s="63" t="s">
        <v>17</v>
      </c>
      <c r="B56" s="74" t="s">
        <v>135</v>
      </c>
      <c r="C56" s="63" t="s">
        <v>96</v>
      </c>
      <c r="D56" s="65">
        <f>1*8*22</f>
        <v>176</v>
      </c>
      <c r="E56" s="68" t="s">
        <v>177</v>
      </c>
      <c r="F56" s="66">
        <v>86.15</v>
      </c>
      <c r="G56" s="66">
        <f t="shared" si="7"/>
        <v>15162.400000000001</v>
      </c>
      <c r="H56" s="66">
        <f t="shared" si="6"/>
        <v>86.15</v>
      </c>
      <c r="I56" s="67">
        <f t="shared" si="8"/>
        <v>15162.400000000001</v>
      </c>
    </row>
    <row r="57" spans="1:9" s="62" customFormat="1" ht="28.5">
      <c r="A57" s="63" t="s">
        <v>18</v>
      </c>
      <c r="B57" s="74" t="s">
        <v>139</v>
      </c>
      <c r="C57" s="63" t="s">
        <v>96</v>
      </c>
      <c r="D57" s="65">
        <f>1*8*22</f>
        <v>176</v>
      </c>
      <c r="E57" s="68" t="s">
        <v>177</v>
      </c>
      <c r="F57" s="66">
        <v>86.15</v>
      </c>
      <c r="G57" s="66">
        <f t="shared" si="7"/>
        <v>15162.400000000001</v>
      </c>
      <c r="H57" s="66">
        <f t="shared" si="6"/>
        <v>86.15</v>
      </c>
      <c r="I57" s="67">
        <f t="shared" si="8"/>
        <v>15162.400000000001</v>
      </c>
    </row>
    <row r="58" spans="1:9" s="69" customFormat="1" ht="28.5">
      <c r="A58" s="63" t="s">
        <v>19</v>
      </c>
      <c r="B58" s="74" t="s">
        <v>136</v>
      </c>
      <c r="C58" s="63" t="s">
        <v>96</v>
      </c>
      <c r="D58" s="65">
        <f>1*8*22</f>
        <v>176</v>
      </c>
      <c r="E58" s="47" t="s">
        <v>172</v>
      </c>
      <c r="F58" s="66">
        <v>86.67</v>
      </c>
      <c r="G58" s="66">
        <f t="shared" si="7"/>
        <v>15253.92</v>
      </c>
      <c r="H58" s="66">
        <f t="shared" si="6"/>
        <v>86.67</v>
      </c>
      <c r="I58" s="67">
        <f t="shared" si="8"/>
        <v>15253.92</v>
      </c>
    </row>
    <row r="59" spans="1:9" s="69" customFormat="1" ht="29.25" customHeight="1">
      <c r="A59" s="63" t="s">
        <v>20</v>
      </c>
      <c r="B59" s="74" t="s">
        <v>137</v>
      </c>
      <c r="C59" s="63" t="s">
        <v>96</v>
      </c>
      <c r="D59" s="65">
        <v>200</v>
      </c>
      <c r="E59" s="47" t="s">
        <v>193</v>
      </c>
      <c r="F59" s="66">
        <v>78.69</v>
      </c>
      <c r="G59" s="66">
        <f t="shared" si="7"/>
        <v>15738</v>
      </c>
      <c r="H59" s="66">
        <f t="shared" si="6"/>
        <v>78.69</v>
      </c>
      <c r="I59" s="67">
        <f t="shared" si="8"/>
        <v>15738</v>
      </c>
    </row>
    <row r="60" spans="1:9" s="69" customFormat="1" ht="28.5">
      <c r="A60" s="63" t="s">
        <v>77</v>
      </c>
      <c r="B60" s="74" t="s">
        <v>138</v>
      </c>
      <c r="C60" s="63" t="s">
        <v>96</v>
      </c>
      <c r="D60" s="65">
        <v>120</v>
      </c>
      <c r="E60" s="47" t="s">
        <v>193</v>
      </c>
      <c r="F60" s="66">
        <v>78.69</v>
      </c>
      <c r="G60" s="66">
        <f t="shared" si="7"/>
        <v>9442.8</v>
      </c>
      <c r="H60" s="66">
        <f t="shared" si="6"/>
        <v>78.69</v>
      </c>
      <c r="I60" s="67">
        <f t="shared" si="8"/>
        <v>9442.8</v>
      </c>
    </row>
    <row r="61" spans="1:9" s="62" customFormat="1" ht="15">
      <c r="A61" s="63" t="s">
        <v>78</v>
      </c>
      <c r="B61" s="70" t="s">
        <v>128</v>
      </c>
      <c r="C61" s="63" t="s">
        <v>96</v>
      </c>
      <c r="D61" s="65">
        <v>172</v>
      </c>
      <c r="E61" s="68" t="s">
        <v>176</v>
      </c>
      <c r="F61" s="66">
        <v>45.1</v>
      </c>
      <c r="G61" s="66">
        <f t="shared" si="7"/>
        <v>7757.2</v>
      </c>
      <c r="H61" s="66">
        <f t="shared" si="6"/>
        <v>45.1</v>
      </c>
      <c r="I61" s="67">
        <f t="shared" si="8"/>
        <v>7757.2</v>
      </c>
    </row>
    <row r="62" spans="1:9" s="62" customFormat="1" ht="15">
      <c r="A62" s="63" t="s">
        <v>85</v>
      </c>
      <c r="B62" s="70" t="s">
        <v>127</v>
      </c>
      <c r="C62" s="63" t="s">
        <v>96</v>
      </c>
      <c r="D62" s="65">
        <f>1*8*22</f>
        <v>176</v>
      </c>
      <c r="E62" s="68" t="s">
        <v>177</v>
      </c>
      <c r="F62" s="66">
        <v>45.1</v>
      </c>
      <c r="G62" s="66">
        <f t="shared" si="7"/>
        <v>7937.6</v>
      </c>
      <c r="H62" s="66">
        <f t="shared" si="6"/>
        <v>45.1</v>
      </c>
      <c r="I62" s="67">
        <f t="shared" si="8"/>
        <v>7937.6</v>
      </c>
    </row>
    <row r="63" spans="1:9" s="69" customFormat="1" ht="28.5">
      <c r="A63" s="63" t="s">
        <v>86</v>
      </c>
      <c r="B63" s="70" t="s">
        <v>191</v>
      </c>
      <c r="C63" s="63" t="s">
        <v>96</v>
      </c>
      <c r="D63" s="65">
        <f>1*8*10</f>
        <v>80</v>
      </c>
      <c r="E63" s="68" t="s">
        <v>177</v>
      </c>
      <c r="F63" s="66">
        <v>86.15</v>
      </c>
      <c r="G63" s="66">
        <f t="shared" si="7"/>
        <v>6892</v>
      </c>
      <c r="H63" s="66">
        <f t="shared" si="6"/>
        <v>86.15</v>
      </c>
      <c r="I63" s="67">
        <f t="shared" si="8"/>
        <v>6892</v>
      </c>
    </row>
    <row r="64" spans="1:9" s="69" customFormat="1" ht="15">
      <c r="A64" s="63" t="s">
        <v>87</v>
      </c>
      <c r="B64" s="70" t="s">
        <v>129</v>
      </c>
      <c r="C64" s="63" t="s">
        <v>96</v>
      </c>
      <c r="D64" s="65">
        <f>1*8*6*2</f>
        <v>96</v>
      </c>
      <c r="E64" s="68" t="s">
        <v>177</v>
      </c>
      <c r="F64" s="66">
        <v>86.15</v>
      </c>
      <c r="G64" s="66">
        <f t="shared" si="7"/>
        <v>8270.400000000001</v>
      </c>
      <c r="H64" s="66">
        <f t="shared" si="6"/>
        <v>86.15</v>
      </c>
      <c r="I64" s="67">
        <f t="shared" si="8"/>
        <v>8270.400000000001</v>
      </c>
    </row>
    <row r="65" spans="1:9" s="69" customFormat="1" ht="15">
      <c r="A65" s="63" t="s">
        <v>88</v>
      </c>
      <c r="B65" s="70" t="s">
        <v>131</v>
      </c>
      <c r="C65" s="63" t="s">
        <v>96</v>
      </c>
      <c r="D65" s="65">
        <f>1*8*2*6.5</f>
        <v>104</v>
      </c>
      <c r="E65" s="47" t="s">
        <v>192</v>
      </c>
      <c r="F65" s="66">
        <v>86.86</v>
      </c>
      <c r="G65" s="66">
        <f t="shared" si="7"/>
        <v>9033.44</v>
      </c>
      <c r="H65" s="66">
        <f t="shared" si="6"/>
        <v>86.86</v>
      </c>
      <c r="I65" s="67">
        <f t="shared" si="8"/>
        <v>9033.44</v>
      </c>
    </row>
    <row r="66" spans="1:9" s="62" customFormat="1" ht="15">
      <c r="A66" s="63" t="s">
        <v>107</v>
      </c>
      <c r="B66" s="70" t="s">
        <v>132</v>
      </c>
      <c r="C66" s="63" t="s">
        <v>96</v>
      </c>
      <c r="D66" s="65">
        <f>1*8*2*9.375</f>
        <v>150</v>
      </c>
      <c r="E66" s="47" t="s">
        <v>173</v>
      </c>
      <c r="F66" s="66">
        <v>25.54</v>
      </c>
      <c r="G66" s="66">
        <f t="shared" si="7"/>
        <v>3831</v>
      </c>
      <c r="H66" s="66">
        <f t="shared" si="6"/>
        <v>25.54</v>
      </c>
      <c r="I66" s="67">
        <f t="shared" si="8"/>
        <v>3831</v>
      </c>
    </row>
    <row r="67" spans="1:9" s="62" customFormat="1" ht="15">
      <c r="A67" s="63" t="s">
        <v>108</v>
      </c>
      <c r="B67" s="70" t="s">
        <v>133</v>
      </c>
      <c r="C67" s="63" t="s">
        <v>96</v>
      </c>
      <c r="D67" s="65">
        <f>1*8*2*9.375</f>
        <v>150</v>
      </c>
      <c r="E67" s="68" t="s">
        <v>178</v>
      </c>
      <c r="F67" s="66">
        <v>7.22</v>
      </c>
      <c r="G67" s="66">
        <f t="shared" si="7"/>
        <v>1083</v>
      </c>
      <c r="H67" s="66">
        <f t="shared" si="6"/>
        <v>7.22</v>
      </c>
      <c r="I67" s="67">
        <f t="shared" si="8"/>
        <v>1083</v>
      </c>
    </row>
    <row r="68" spans="1:9" s="62" customFormat="1" ht="15">
      <c r="A68" s="63" t="s">
        <v>109</v>
      </c>
      <c r="B68" s="70" t="s">
        <v>130</v>
      </c>
      <c r="C68" s="63" t="s">
        <v>96</v>
      </c>
      <c r="D68" s="65">
        <f>1*8*15</f>
        <v>120</v>
      </c>
      <c r="E68" s="68" t="s">
        <v>179</v>
      </c>
      <c r="F68" s="66">
        <v>4.57</v>
      </c>
      <c r="G68" s="66">
        <f t="shared" si="7"/>
        <v>548.4000000000001</v>
      </c>
      <c r="H68" s="66">
        <f t="shared" si="6"/>
        <v>4.57</v>
      </c>
      <c r="I68" s="67">
        <f t="shared" si="8"/>
        <v>548.4000000000001</v>
      </c>
    </row>
    <row r="69" spans="1:9" s="62" customFormat="1" ht="15">
      <c r="A69" s="63" t="s">
        <v>110</v>
      </c>
      <c r="B69" s="70" t="s">
        <v>89</v>
      </c>
      <c r="C69" s="63" t="s">
        <v>96</v>
      </c>
      <c r="D69" s="65">
        <f>1*8*22</f>
        <v>176</v>
      </c>
      <c r="E69" s="68" t="s">
        <v>180</v>
      </c>
      <c r="F69" s="66">
        <v>16.18</v>
      </c>
      <c r="G69" s="66">
        <f t="shared" si="7"/>
        <v>2847.68</v>
      </c>
      <c r="H69" s="66">
        <f t="shared" si="6"/>
        <v>16.18</v>
      </c>
      <c r="I69" s="67">
        <f t="shared" si="8"/>
        <v>2847.68</v>
      </c>
    </row>
    <row r="70" spans="1:9" s="69" customFormat="1" ht="15">
      <c r="A70" s="63" t="s">
        <v>111</v>
      </c>
      <c r="B70" s="70" t="s">
        <v>90</v>
      </c>
      <c r="C70" s="63" t="s">
        <v>96</v>
      </c>
      <c r="D70" s="65">
        <v>174</v>
      </c>
      <c r="E70" s="47" t="s">
        <v>173</v>
      </c>
      <c r="F70" s="66">
        <v>25.54</v>
      </c>
      <c r="G70" s="66">
        <f t="shared" si="7"/>
        <v>4443.96</v>
      </c>
      <c r="H70" s="66">
        <f t="shared" si="6"/>
        <v>25.54</v>
      </c>
      <c r="I70" s="67">
        <f t="shared" si="8"/>
        <v>4443.96</v>
      </c>
    </row>
    <row r="71" spans="1:9" s="62" customFormat="1" ht="15">
      <c r="A71" s="63" t="s">
        <v>112</v>
      </c>
      <c r="B71" s="70" t="s">
        <v>91</v>
      </c>
      <c r="C71" s="63" t="s">
        <v>96</v>
      </c>
      <c r="D71" s="65">
        <f>1*8*22</f>
        <v>176</v>
      </c>
      <c r="E71" s="68" t="s">
        <v>181</v>
      </c>
      <c r="F71" s="66">
        <v>8.28</v>
      </c>
      <c r="G71" s="66">
        <f t="shared" si="7"/>
        <v>1457.28</v>
      </c>
      <c r="H71" s="66">
        <f t="shared" si="6"/>
        <v>8.28</v>
      </c>
      <c r="I71" s="67">
        <f t="shared" si="8"/>
        <v>1457.28</v>
      </c>
    </row>
    <row r="72" spans="1:9" s="69" customFormat="1" ht="15">
      <c r="A72" s="63" t="s">
        <v>113</v>
      </c>
      <c r="B72" s="70" t="s">
        <v>92</v>
      </c>
      <c r="C72" s="63" t="s">
        <v>96</v>
      </c>
      <c r="D72" s="65">
        <f>1*8*22</f>
        <v>176</v>
      </c>
      <c r="E72" s="68" t="s">
        <v>181</v>
      </c>
      <c r="F72" s="66">
        <v>8.28</v>
      </c>
      <c r="G72" s="66">
        <f t="shared" si="7"/>
        <v>1457.28</v>
      </c>
      <c r="H72" s="66">
        <f t="shared" si="6"/>
        <v>8.28</v>
      </c>
      <c r="I72" s="67">
        <f t="shared" si="8"/>
        <v>1457.28</v>
      </c>
    </row>
    <row r="73" spans="1:9" s="62" customFormat="1" ht="15">
      <c r="A73" s="63" t="s">
        <v>114</v>
      </c>
      <c r="B73" s="70" t="s">
        <v>93</v>
      </c>
      <c r="C73" s="63" t="s">
        <v>96</v>
      </c>
      <c r="D73" s="65">
        <v>280</v>
      </c>
      <c r="E73" s="68" t="s">
        <v>181</v>
      </c>
      <c r="F73" s="66">
        <v>8.28</v>
      </c>
      <c r="G73" s="66">
        <f t="shared" si="7"/>
        <v>2318.3999999999996</v>
      </c>
      <c r="H73" s="66">
        <f t="shared" si="6"/>
        <v>8.28</v>
      </c>
      <c r="I73" s="67">
        <f t="shared" si="8"/>
        <v>2318.3999999999996</v>
      </c>
    </row>
    <row r="74" spans="1:9" s="62" customFormat="1" ht="15">
      <c r="A74" s="63" t="s">
        <v>115</v>
      </c>
      <c r="B74" s="70" t="s">
        <v>94</v>
      </c>
      <c r="C74" s="63" t="s">
        <v>96</v>
      </c>
      <c r="D74" s="65">
        <f>1*8*22</f>
        <v>176</v>
      </c>
      <c r="E74" s="68" t="s">
        <v>182</v>
      </c>
      <c r="F74" s="66">
        <v>8.64</v>
      </c>
      <c r="G74" s="66">
        <f t="shared" si="7"/>
        <v>1520.64</v>
      </c>
      <c r="H74" s="66">
        <f t="shared" si="6"/>
        <v>8.64</v>
      </c>
      <c r="I74" s="67">
        <f t="shared" si="8"/>
        <v>1520.64</v>
      </c>
    </row>
    <row r="75" spans="1:9" s="62" customFormat="1" ht="15">
      <c r="A75" s="63" t="s">
        <v>141</v>
      </c>
      <c r="B75" s="70" t="s">
        <v>95</v>
      </c>
      <c r="C75" s="63" t="s">
        <v>96</v>
      </c>
      <c r="D75" s="65">
        <v>116</v>
      </c>
      <c r="E75" s="68" t="s">
        <v>194</v>
      </c>
      <c r="F75" s="66">
        <v>6.35</v>
      </c>
      <c r="G75" s="66">
        <f t="shared" si="7"/>
        <v>736.5999999999999</v>
      </c>
      <c r="H75" s="66">
        <f t="shared" si="6"/>
        <v>6.35</v>
      </c>
      <c r="I75" s="67">
        <f t="shared" si="8"/>
        <v>736.5999999999999</v>
      </c>
    </row>
    <row r="76" spans="1:9" s="62" customFormat="1" ht="15">
      <c r="A76" s="63" t="s">
        <v>142</v>
      </c>
      <c r="B76" s="70" t="s">
        <v>166</v>
      </c>
      <c r="C76" s="63" t="s">
        <v>168</v>
      </c>
      <c r="D76" s="65">
        <v>1</v>
      </c>
      <c r="E76" s="46" t="s">
        <v>174</v>
      </c>
      <c r="F76" s="66">
        <v>500</v>
      </c>
      <c r="G76" s="66">
        <f t="shared" si="7"/>
        <v>500</v>
      </c>
      <c r="H76" s="66">
        <f t="shared" si="6"/>
        <v>500</v>
      </c>
      <c r="I76" s="67">
        <f t="shared" si="8"/>
        <v>500</v>
      </c>
    </row>
    <row r="77" spans="1:9" s="62" customFormat="1" ht="15">
      <c r="A77" s="63" t="s">
        <v>143</v>
      </c>
      <c r="B77" s="70" t="s">
        <v>167</v>
      </c>
      <c r="C77" s="63" t="s">
        <v>168</v>
      </c>
      <c r="D77" s="65">
        <v>1</v>
      </c>
      <c r="E77" s="46" t="s">
        <v>175</v>
      </c>
      <c r="F77" s="66">
        <v>250</v>
      </c>
      <c r="G77" s="66">
        <f t="shared" si="7"/>
        <v>250</v>
      </c>
      <c r="H77" s="66">
        <f t="shared" si="6"/>
        <v>250</v>
      </c>
      <c r="I77" s="67">
        <f t="shared" si="8"/>
        <v>250</v>
      </c>
    </row>
    <row r="78" spans="1:9" s="62" customFormat="1" ht="15">
      <c r="A78" s="63" t="s">
        <v>144</v>
      </c>
      <c r="B78" s="70" t="s">
        <v>183</v>
      </c>
      <c r="C78" s="63" t="s">
        <v>186</v>
      </c>
      <c r="D78" s="65">
        <v>15</v>
      </c>
      <c r="E78" s="75" t="s">
        <v>185</v>
      </c>
      <c r="F78" s="66">
        <v>60</v>
      </c>
      <c r="G78" s="66">
        <f t="shared" si="7"/>
        <v>900</v>
      </c>
      <c r="H78" s="66">
        <f t="shared" si="6"/>
        <v>60</v>
      </c>
      <c r="I78" s="67">
        <f t="shared" si="8"/>
        <v>900</v>
      </c>
    </row>
    <row r="79" spans="1:9" s="62" customFormat="1" ht="15">
      <c r="A79" s="63" t="s">
        <v>145</v>
      </c>
      <c r="B79" s="70" t="s">
        <v>184</v>
      </c>
      <c r="C79" s="63" t="s">
        <v>168</v>
      </c>
      <c r="D79" s="65">
        <v>1</v>
      </c>
      <c r="E79" s="46" t="s">
        <v>187</v>
      </c>
      <c r="F79" s="66">
        <v>2520</v>
      </c>
      <c r="G79" s="66">
        <f t="shared" si="7"/>
        <v>2520</v>
      </c>
      <c r="H79" s="66">
        <f t="shared" si="6"/>
        <v>2520</v>
      </c>
      <c r="I79" s="67">
        <f t="shared" si="8"/>
        <v>2520</v>
      </c>
    </row>
    <row r="80" spans="1:9" s="55" customFormat="1" ht="20.25" customHeight="1">
      <c r="A80" s="63"/>
      <c r="B80" s="71" t="s">
        <v>70</v>
      </c>
      <c r="C80" s="63"/>
      <c r="D80" s="76"/>
      <c r="E80" s="68"/>
      <c r="F80" s="66"/>
      <c r="G80" s="72">
        <f>SUM(G53:G79)</f>
        <v>198730.35</v>
      </c>
      <c r="H80" s="66"/>
      <c r="I80" s="73">
        <f>SUM(I53:I79)</f>
        <v>198730.35</v>
      </c>
    </row>
    <row r="81" spans="1:9" s="62" customFormat="1" ht="48.75" customHeight="1">
      <c r="A81" s="61">
        <v>4</v>
      </c>
      <c r="B81" s="91" t="s">
        <v>146</v>
      </c>
      <c r="C81" s="91"/>
      <c r="D81" s="91"/>
      <c r="E81" s="91"/>
      <c r="F81" s="91"/>
      <c r="G81" s="91"/>
      <c r="H81" s="91"/>
      <c r="I81" s="91"/>
    </row>
    <row r="82" spans="1:9" s="62" customFormat="1" ht="42.75">
      <c r="A82" s="63" t="s">
        <v>21</v>
      </c>
      <c r="B82" s="64" t="s">
        <v>125</v>
      </c>
      <c r="C82" s="63" t="s">
        <v>96</v>
      </c>
      <c r="D82" s="65">
        <f>1*8*15</f>
        <v>120</v>
      </c>
      <c r="E82" s="46" t="s">
        <v>171</v>
      </c>
      <c r="F82" s="66">
        <v>140</v>
      </c>
      <c r="G82" s="66">
        <f>D82*F82</f>
        <v>16800</v>
      </c>
      <c r="H82" s="66">
        <f aca="true" t="shared" si="9" ref="H82:H105">F82*(1+$I$9)</f>
        <v>140</v>
      </c>
      <c r="I82" s="67">
        <f>D82*H82</f>
        <v>16800</v>
      </c>
    </row>
    <row r="83" spans="1:9" s="69" customFormat="1" ht="42.75">
      <c r="A83" s="63" t="s">
        <v>22</v>
      </c>
      <c r="B83" s="64" t="s">
        <v>126</v>
      </c>
      <c r="C83" s="63" t="s">
        <v>96</v>
      </c>
      <c r="D83" s="65">
        <v>189</v>
      </c>
      <c r="E83" s="68" t="s">
        <v>177</v>
      </c>
      <c r="F83" s="66">
        <v>86.15</v>
      </c>
      <c r="G83" s="66">
        <f aca="true" t="shared" si="10" ref="G83:G105">D83*F83</f>
        <v>16282.35</v>
      </c>
      <c r="H83" s="66">
        <f t="shared" si="9"/>
        <v>86.15</v>
      </c>
      <c r="I83" s="67">
        <f aca="true" t="shared" si="11" ref="I83:I105">D83*H83</f>
        <v>16282.35</v>
      </c>
    </row>
    <row r="84" spans="1:9" s="69" customFormat="1" ht="28.5">
      <c r="A84" s="63" t="s">
        <v>23</v>
      </c>
      <c r="B84" s="64" t="s">
        <v>124</v>
      </c>
      <c r="C84" s="63" t="s">
        <v>96</v>
      </c>
      <c r="D84" s="65">
        <f>1*8*15</f>
        <v>120</v>
      </c>
      <c r="E84" s="68" t="s">
        <v>177</v>
      </c>
      <c r="F84" s="66">
        <v>86.15</v>
      </c>
      <c r="G84" s="66">
        <f t="shared" si="10"/>
        <v>10338</v>
      </c>
      <c r="H84" s="66">
        <f t="shared" si="9"/>
        <v>86.15</v>
      </c>
      <c r="I84" s="67">
        <f t="shared" si="11"/>
        <v>10338</v>
      </c>
    </row>
    <row r="85" spans="1:9" s="69" customFormat="1" ht="42.75">
      <c r="A85" s="63" t="s">
        <v>24</v>
      </c>
      <c r="B85" s="74" t="s">
        <v>135</v>
      </c>
      <c r="C85" s="63" t="s">
        <v>96</v>
      </c>
      <c r="D85" s="65">
        <f>1*8*15</f>
        <v>120</v>
      </c>
      <c r="E85" s="68" t="s">
        <v>177</v>
      </c>
      <c r="F85" s="66">
        <v>86.15</v>
      </c>
      <c r="G85" s="66">
        <f t="shared" si="10"/>
        <v>10338</v>
      </c>
      <c r="H85" s="66">
        <f t="shared" si="9"/>
        <v>86.15</v>
      </c>
      <c r="I85" s="67">
        <f t="shared" si="11"/>
        <v>10338</v>
      </c>
    </row>
    <row r="86" spans="1:9" s="69" customFormat="1" ht="28.5">
      <c r="A86" s="63" t="s">
        <v>25</v>
      </c>
      <c r="B86" s="74" t="s">
        <v>139</v>
      </c>
      <c r="C86" s="63" t="s">
        <v>96</v>
      </c>
      <c r="D86" s="65">
        <f>1*8*15</f>
        <v>120</v>
      </c>
      <c r="E86" s="68" t="s">
        <v>177</v>
      </c>
      <c r="F86" s="66">
        <v>86.15</v>
      </c>
      <c r="G86" s="66">
        <f t="shared" si="10"/>
        <v>10338</v>
      </c>
      <c r="H86" s="66">
        <f t="shared" si="9"/>
        <v>86.15</v>
      </c>
      <c r="I86" s="67">
        <f t="shared" si="11"/>
        <v>10338</v>
      </c>
    </row>
    <row r="87" spans="1:9" s="69" customFormat="1" ht="28.5">
      <c r="A87" s="63" t="s">
        <v>26</v>
      </c>
      <c r="B87" s="74" t="s">
        <v>136</v>
      </c>
      <c r="C87" s="63" t="s">
        <v>96</v>
      </c>
      <c r="D87" s="65">
        <f>1*8*15</f>
        <v>120</v>
      </c>
      <c r="E87" s="47" t="s">
        <v>172</v>
      </c>
      <c r="F87" s="66">
        <v>86.67</v>
      </c>
      <c r="G87" s="66">
        <f t="shared" si="10"/>
        <v>10400.4</v>
      </c>
      <c r="H87" s="66">
        <f t="shared" si="9"/>
        <v>86.67</v>
      </c>
      <c r="I87" s="67">
        <f t="shared" si="11"/>
        <v>10400.4</v>
      </c>
    </row>
    <row r="88" spans="1:9" s="69" customFormat="1" ht="27.75" customHeight="1">
      <c r="A88" s="63" t="s">
        <v>27</v>
      </c>
      <c r="B88" s="74" t="s">
        <v>137</v>
      </c>
      <c r="C88" s="63" t="s">
        <v>96</v>
      </c>
      <c r="D88" s="65">
        <v>52</v>
      </c>
      <c r="E88" s="47" t="s">
        <v>193</v>
      </c>
      <c r="F88" s="66">
        <v>78.69</v>
      </c>
      <c r="G88" s="66">
        <f t="shared" si="10"/>
        <v>4091.88</v>
      </c>
      <c r="H88" s="66">
        <f t="shared" si="9"/>
        <v>78.69</v>
      </c>
      <c r="I88" s="67">
        <f t="shared" si="11"/>
        <v>4091.88</v>
      </c>
    </row>
    <row r="89" spans="1:9" s="69" customFormat="1" ht="28.5">
      <c r="A89" s="63" t="s">
        <v>62</v>
      </c>
      <c r="B89" s="74" t="s">
        <v>138</v>
      </c>
      <c r="C89" s="63" t="s">
        <v>96</v>
      </c>
      <c r="D89" s="65">
        <f>1*8*10</f>
        <v>80</v>
      </c>
      <c r="E89" s="47" t="s">
        <v>193</v>
      </c>
      <c r="F89" s="66">
        <v>78.69</v>
      </c>
      <c r="G89" s="66">
        <f t="shared" si="10"/>
        <v>6295.2</v>
      </c>
      <c r="H89" s="66">
        <f t="shared" si="9"/>
        <v>78.69</v>
      </c>
      <c r="I89" s="67">
        <f t="shared" si="11"/>
        <v>6295.2</v>
      </c>
    </row>
    <row r="90" spans="1:9" s="62" customFormat="1" ht="15">
      <c r="A90" s="63" t="s">
        <v>63</v>
      </c>
      <c r="B90" s="70" t="s">
        <v>128</v>
      </c>
      <c r="C90" s="63" t="s">
        <v>96</v>
      </c>
      <c r="D90" s="65">
        <v>128</v>
      </c>
      <c r="E90" s="68" t="s">
        <v>176</v>
      </c>
      <c r="F90" s="66">
        <v>45.1</v>
      </c>
      <c r="G90" s="66">
        <f t="shared" si="10"/>
        <v>5772.8</v>
      </c>
      <c r="H90" s="66">
        <f t="shared" si="9"/>
        <v>45.1</v>
      </c>
      <c r="I90" s="67">
        <f t="shared" si="11"/>
        <v>5772.8</v>
      </c>
    </row>
    <row r="91" spans="1:9" s="62" customFormat="1" ht="15">
      <c r="A91" s="63" t="s">
        <v>64</v>
      </c>
      <c r="B91" s="70" t="s">
        <v>127</v>
      </c>
      <c r="C91" s="63" t="s">
        <v>96</v>
      </c>
      <c r="D91" s="65">
        <f>1*8*15</f>
        <v>120</v>
      </c>
      <c r="E91" s="68" t="s">
        <v>177</v>
      </c>
      <c r="F91" s="66">
        <v>45.1</v>
      </c>
      <c r="G91" s="66">
        <f t="shared" si="10"/>
        <v>5412</v>
      </c>
      <c r="H91" s="66">
        <f t="shared" si="9"/>
        <v>45.1</v>
      </c>
      <c r="I91" s="67">
        <f t="shared" si="11"/>
        <v>5412</v>
      </c>
    </row>
    <row r="92" spans="1:9" s="69" customFormat="1" ht="28.5">
      <c r="A92" s="63" t="s">
        <v>65</v>
      </c>
      <c r="B92" s="70" t="s">
        <v>191</v>
      </c>
      <c r="C92" s="63" t="s">
        <v>96</v>
      </c>
      <c r="D92" s="65">
        <f>1*8*2</f>
        <v>16</v>
      </c>
      <c r="E92" s="68" t="s">
        <v>177</v>
      </c>
      <c r="F92" s="66">
        <v>86.15</v>
      </c>
      <c r="G92" s="66">
        <f t="shared" si="10"/>
        <v>1378.4</v>
      </c>
      <c r="H92" s="66">
        <f t="shared" si="9"/>
        <v>86.15</v>
      </c>
      <c r="I92" s="67">
        <f t="shared" si="11"/>
        <v>1378.4</v>
      </c>
    </row>
    <row r="93" spans="1:9" s="69" customFormat="1" ht="15">
      <c r="A93" s="63" t="s">
        <v>66</v>
      </c>
      <c r="B93" s="70" t="s">
        <v>129</v>
      </c>
      <c r="C93" s="63" t="s">
        <v>96</v>
      </c>
      <c r="D93" s="65">
        <f>1*8*2*2</f>
        <v>32</v>
      </c>
      <c r="E93" s="68" t="s">
        <v>177</v>
      </c>
      <c r="F93" s="66">
        <v>86.15</v>
      </c>
      <c r="G93" s="66">
        <f t="shared" si="10"/>
        <v>2756.8</v>
      </c>
      <c r="H93" s="66">
        <f t="shared" si="9"/>
        <v>86.15</v>
      </c>
      <c r="I93" s="67">
        <f t="shared" si="11"/>
        <v>2756.8</v>
      </c>
    </row>
    <row r="94" spans="1:9" s="62" customFormat="1" ht="15">
      <c r="A94" s="63" t="s">
        <v>116</v>
      </c>
      <c r="B94" s="70" t="s">
        <v>130</v>
      </c>
      <c r="C94" s="63" t="s">
        <v>96</v>
      </c>
      <c r="D94" s="65">
        <f>1*8*2</f>
        <v>16</v>
      </c>
      <c r="E94" s="68" t="s">
        <v>179</v>
      </c>
      <c r="F94" s="66">
        <v>4.57</v>
      </c>
      <c r="G94" s="66">
        <f t="shared" si="10"/>
        <v>73.12</v>
      </c>
      <c r="H94" s="66">
        <f t="shared" si="9"/>
        <v>4.57</v>
      </c>
      <c r="I94" s="67">
        <f t="shared" si="11"/>
        <v>73.12</v>
      </c>
    </row>
    <row r="95" spans="1:9" s="62" customFormat="1" ht="15">
      <c r="A95" s="63" t="s">
        <v>117</v>
      </c>
      <c r="B95" s="70" t="s">
        <v>89</v>
      </c>
      <c r="C95" s="63" t="s">
        <v>96</v>
      </c>
      <c r="D95" s="65">
        <f>1*8*15</f>
        <v>120</v>
      </c>
      <c r="E95" s="68" t="s">
        <v>180</v>
      </c>
      <c r="F95" s="66">
        <v>16.18</v>
      </c>
      <c r="G95" s="66">
        <f t="shared" si="10"/>
        <v>1941.6</v>
      </c>
      <c r="H95" s="66">
        <f t="shared" si="9"/>
        <v>16.18</v>
      </c>
      <c r="I95" s="67">
        <f t="shared" si="11"/>
        <v>1941.6</v>
      </c>
    </row>
    <row r="96" spans="1:9" s="69" customFormat="1" ht="15">
      <c r="A96" s="63" t="s">
        <v>118</v>
      </c>
      <c r="B96" s="70" t="s">
        <v>90</v>
      </c>
      <c r="C96" s="63" t="s">
        <v>96</v>
      </c>
      <c r="D96" s="65">
        <v>128</v>
      </c>
      <c r="E96" s="47" t="s">
        <v>173</v>
      </c>
      <c r="F96" s="66">
        <v>25.54</v>
      </c>
      <c r="G96" s="66">
        <f t="shared" si="10"/>
        <v>3269.12</v>
      </c>
      <c r="H96" s="66">
        <f t="shared" si="9"/>
        <v>25.54</v>
      </c>
      <c r="I96" s="67">
        <f t="shared" si="11"/>
        <v>3269.12</v>
      </c>
    </row>
    <row r="97" spans="1:9" s="69" customFormat="1" ht="15">
      <c r="A97" s="63" t="s">
        <v>119</v>
      </c>
      <c r="B97" s="70" t="s">
        <v>91</v>
      </c>
      <c r="C97" s="63" t="s">
        <v>96</v>
      </c>
      <c r="D97" s="65">
        <f>1*8*15</f>
        <v>120</v>
      </c>
      <c r="E97" s="68" t="s">
        <v>181</v>
      </c>
      <c r="F97" s="66">
        <v>8.28</v>
      </c>
      <c r="G97" s="66">
        <f t="shared" si="10"/>
        <v>993.5999999999999</v>
      </c>
      <c r="H97" s="66">
        <f t="shared" si="9"/>
        <v>8.28</v>
      </c>
      <c r="I97" s="67">
        <f t="shared" si="11"/>
        <v>993.5999999999999</v>
      </c>
    </row>
    <row r="98" spans="1:9" s="69" customFormat="1" ht="15">
      <c r="A98" s="63" t="s">
        <v>120</v>
      </c>
      <c r="B98" s="70" t="s">
        <v>92</v>
      </c>
      <c r="C98" s="63" t="s">
        <v>96</v>
      </c>
      <c r="D98" s="65">
        <f>1*8*15</f>
        <v>120</v>
      </c>
      <c r="E98" s="68" t="s">
        <v>181</v>
      </c>
      <c r="F98" s="66">
        <v>8.28</v>
      </c>
      <c r="G98" s="66">
        <f t="shared" si="10"/>
        <v>993.5999999999999</v>
      </c>
      <c r="H98" s="66">
        <f t="shared" si="9"/>
        <v>8.28</v>
      </c>
      <c r="I98" s="67">
        <f t="shared" si="11"/>
        <v>993.5999999999999</v>
      </c>
    </row>
    <row r="99" spans="1:9" s="62" customFormat="1" ht="15">
      <c r="A99" s="63" t="s">
        <v>121</v>
      </c>
      <c r="B99" s="70" t="s">
        <v>93</v>
      </c>
      <c r="C99" s="63" t="s">
        <v>96</v>
      </c>
      <c r="D99" s="65">
        <f>2*8*15*0.8</f>
        <v>192</v>
      </c>
      <c r="E99" s="68" t="s">
        <v>181</v>
      </c>
      <c r="F99" s="66">
        <v>8.28</v>
      </c>
      <c r="G99" s="66">
        <f t="shared" si="10"/>
        <v>1589.7599999999998</v>
      </c>
      <c r="H99" s="66">
        <f t="shared" si="9"/>
        <v>8.28</v>
      </c>
      <c r="I99" s="67">
        <f t="shared" si="11"/>
        <v>1589.7599999999998</v>
      </c>
    </row>
    <row r="100" spans="1:9" s="62" customFormat="1" ht="15">
      <c r="A100" s="63" t="s">
        <v>122</v>
      </c>
      <c r="B100" s="70" t="s">
        <v>94</v>
      </c>
      <c r="C100" s="63" t="s">
        <v>96</v>
      </c>
      <c r="D100" s="65">
        <f>1*8*10</f>
        <v>80</v>
      </c>
      <c r="E100" s="68" t="s">
        <v>182</v>
      </c>
      <c r="F100" s="66">
        <v>8.64</v>
      </c>
      <c r="G100" s="66">
        <f t="shared" si="10"/>
        <v>691.2</v>
      </c>
      <c r="H100" s="66">
        <f t="shared" si="9"/>
        <v>8.64</v>
      </c>
      <c r="I100" s="67">
        <f t="shared" si="11"/>
        <v>691.2</v>
      </c>
    </row>
    <row r="101" spans="1:9" s="62" customFormat="1" ht="15">
      <c r="A101" s="63" t="s">
        <v>159</v>
      </c>
      <c r="B101" s="70" t="s">
        <v>95</v>
      </c>
      <c r="C101" s="63" t="s">
        <v>96</v>
      </c>
      <c r="D101" s="65">
        <v>80</v>
      </c>
      <c r="E101" s="68" t="s">
        <v>194</v>
      </c>
      <c r="F101" s="66">
        <v>6.35</v>
      </c>
      <c r="G101" s="66">
        <f t="shared" si="10"/>
        <v>508</v>
      </c>
      <c r="H101" s="66">
        <f t="shared" si="9"/>
        <v>6.35</v>
      </c>
      <c r="I101" s="67">
        <f t="shared" si="11"/>
        <v>508</v>
      </c>
    </row>
    <row r="102" spans="1:9" s="62" customFormat="1" ht="15">
      <c r="A102" s="63" t="s">
        <v>160</v>
      </c>
      <c r="B102" s="70" t="s">
        <v>166</v>
      </c>
      <c r="C102" s="63" t="s">
        <v>168</v>
      </c>
      <c r="D102" s="65">
        <v>1</v>
      </c>
      <c r="E102" s="46" t="s">
        <v>174</v>
      </c>
      <c r="F102" s="66">
        <v>500</v>
      </c>
      <c r="G102" s="66">
        <f t="shared" si="10"/>
        <v>500</v>
      </c>
      <c r="H102" s="66">
        <f t="shared" si="9"/>
        <v>500</v>
      </c>
      <c r="I102" s="67">
        <f t="shared" si="11"/>
        <v>500</v>
      </c>
    </row>
    <row r="103" spans="1:9" s="62" customFormat="1" ht="15">
      <c r="A103" s="63" t="s">
        <v>161</v>
      </c>
      <c r="B103" s="70" t="s">
        <v>167</v>
      </c>
      <c r="C103" s="63" t="s">
        <v>168</v>
      </c>
      <c r="D103" s="65">
        <v>1</v>
      </c>
      <c r="E103" s="46" t="s">
        <v>175</v>
      </c>
      <c r="F103" s="66">
        <v>250</v>
      </c>
      <c r="G103" s="66">
        <f t="shared" si="10"/>
        <v>250</v>
      </c>
      <c r="H103" s="66">
        <f t="shared" si="9"/>
        <v>250</v>
      </c>
      <c r="I103" s="67">
        <f t="shared" si="11"/>
        <v>250</v>
      </c>
    </row>
    <row r="104" spans="1:9" s="62" customFormat="1" ht="15">
      <c r="A104" s="63" t="s">
        <v>162</v>
      </c>
      <c r="B104" s="70" t="s">
        <v>183</v>
      </c>
      <c r="C104" s="63" t="s">
        <v>186</v>
      </c>
      <c r="D104" s="65">
        <v>1</v>
      </c>
      <c r="E104" s="75" t="s">
        <v>185</v>
      </c>
      <c r="F104" s="66">
        <v>60</v>
      </c>
      <c r="G104" s="66">
        <f t="shared" si="10"/>
        <v>60</v>
      </c>
      <c r="H104" s="66">
        <f t="shared" si="9"/>
        <v>60</v>
      </c>
      <c r="I104" s="67">
        <f t="shared" si="11"/>
        <v>60</v>
      </c>
    </row>
    <row r="105" spans="1:9" s="62" customFormat="1" ht="15">
      <c r="A105" s="63" t="s">
        <v>163</v>
      </c>
      <c r="B105" s="70" t="s">
        <v>184</v>
      </c>
      <c r="C105" s="63" t="s">
        <v>168</v>
      </c>
      <c r="D105" s="65">
        <v>1</v>
      </c>
      <c r="E105" s="46" t="s">
        <v>187</v>
      </c>
      <c r="F105" s="66">
        <v>2520</v>
      </c>
      <c r="G105" s="66">
        <f t="shared" si="10"/>
        <v>2520</v>
      </c>
      <c r="H105" s="66">
        <f t="shared" si="9"/>
        <v>2520</v>
      </c>
      <c r="I105" s="67">
        <f t="shared" si="11"/>
        <v>2520</v>
      </c>
    </row>
    <row r="106" spans="1:9" s="55" customFormat="1" ht="21" customHeight="1">
      <c r="A106" s="63"/>
      <c r="B106" s="71" t="s">
        <v>70</v>
      </c>
      <c r="C106" s="63"/>
      <c r="D106" s="66"/>
      <c r="E106" s="68"/>
      <c r="F106" s="66"/>
      <c r="G106" s="72">
        <f>SUM(G82:G105)</f>
        <v>113593.83</v>
      </c>
      <c r="H106" s="66"/>
      <c r="I106" s="73">
        <f>SUM(I82:I105)</f>
        <v>113593.83</v>
      </c>
    </row>
    <row r="107" spans="1:9" s="62" customFormat="1" ht="9.75" customHeight="1">
      <c r="A107" s="92"/>
      <c r="B107" s="92"/>
      <c r="C107" s="92"/>
      <c r="D107" s="92"/>
      <c r="E107" s="92"/>
      <c r="F107" s="92"/>
      <c r="G107" s="92"/>
      <c r="H107" s="92"/>
      <c r="I107" s="92"/>
    </row>
    <row r="108" spans="1:9" s="55" customFormat="1" ht="18">
      <c r="A108" s="77"/>
      <c r="B108" s="78" t="s">
        <v>71</v>
      </c>
      <c r="C108" s="77"/>
      <c r="D108" s="79"/>
      <c r="E108" s="80"/>
      <c r="F108" s="79"/>
      <c r="G108" s="79"/>
      <c r="H108" s="79"/>
      <c r="I108" s="81">
        <f>SUM(I22+I51+I80+I106)</f>
        <v>485461.82</v>
      </c>
    </row>
    <row r="109" spans="1:9" s="54" customFormat="1" ht="12">
      <c r="A109" s="93"/>
      <c r="B109" s="93"/>
      <c r="C109" s="93"/>
      <c r="D109" s="93"/>
      <c r="E109" s="93"/>
      <c r="F109" s="93"/>
      <c r="G109" s="93"/>
      <c r="H109" s="93"/>
      <c r="I109" s="93"/>
    </row>
    <row r="110" spans="1:9" s="62" customFormat="1" ht="15">
      <c r="A110" s="93"/>
      <c r="B110" s="93"/>
      <c r="C110" s="93"/>
      <c r="D110" s="93"/>
      <c r="E110" s="93"/>
      <c r="F110" s="93"/>
      <c r="G110" s="93"/>
      <c r="H110" s="93"/>
      <c r="I110" s="93"/>
    </row>
    <row r="111" spans="5:9" s="54" customFormat="1" ht="12">
      <c r="E111" s="82"/>
      <c r="F111" s="83"/>
      <c r="G111" s="83"/>
      <c r="H111" s="83"/>
      <c r="I111" s="84"/>
    </row>
    <row r="112" spans="4:9" s="54" customFormat="1" ht="12">
      <c r="D112" s="85"/>
      <c r="E112" s="86"/>
      <c r="I112" s="84"/>
    </row>
    <row r="113" spans="4:9" s="54" customFormat="1" ht="12">
      <c r="D113" s="85"/>
      <c r="E113" s="86"/>
      <c r="I113" s="84"/>
    </row>
    <row r="114" spans="5:9" s="54" customFormat="1" ht="12">
      <c r="E114" s="82"/>
      <c r="I114" s="84"/>
    </row>
    <row r="115" spans="5:9" s="54" customFormat="1" ht="12">
      <c r="E115" s="82"/>
      <c r="I115" s="84"/>
    </row>
    <row r="116" spans="5:9" s="54" customFormat="1" ht="12">
      <c r="E116" s="82"/>
      <c r="I116" s="84"/>
    </row>
    <row r="117" spans="5:9" s="54" customFormat="1" ht="12">
      <c r="E117" s="82"/>
      <c r="I117" s="84"/>
    </row>
    <row r="118" spans="5:9" s="54" customFormat="1" ht="12">
      <c r="E118" s="82"/>
      <c r="I118" s="84"/>
    </row>
    <row r="119" spans="5:9" s="54" customFormat="1" ht="12">
      <c r="E119" s="82"/>
      <c r="I119" s="84"/>
    </row>
    <row r="120" spans="5:9" s="54" customFormat="1" ht="12">
      <c r="E120" s="82"/>
      <c r="I120" s="84"/>
    </row>
    <row r="121" spans="5:9" s="54" customFormat="1" ht="12">
      <c r="E121" s="82"/>
      <c r="I121" s="84"/>
    </row>
    <row r="122" spans="5:9" s="54" customFormat="1" ht="12">
      <c r="E122" s="82"/>
      <c r="I122" s="84"/>
    </row>
    <row r="123" spans="5:9" s="54" customFormat="1" ht="12">
      <c r="E123" s="82"/>
      <c r="I123" s="84"/>
    </row>
    <row r="124" spans="5:9" s="54" customFormat="1" ht="12">
      <c r="E124" s="82"/>
      <c r="I124" s="84"/>
    </row>
    <row r="125" spans="5:9" s="54" customFormat="1" ht="12">
      <c r="E125" s="82"/>
      <c r="I125" s="84"/>
    </row>
    <row r="126" spans="5:9" s="54" customFormat="1" ht="12">
      <c r="E126" s="82"/>
      <c r="I126" s="84"/>
    </row>
    <row r="127" spans="5:9" s="54" customFormat="1" ht="12">
      <c r="E127" s="82"/>
      <c r="I127" s="84"/>
    </row>
    <row r="128" spans="5:9" s="54" customFormat="1" ht="12">
      <c r="E128" s="82"/>
      <c r="I128" s="84"/>
    </row>
    <row r="129" spans="5:9" s="54" customFormat="1" ht="12">
      <c r="E129" s="82"/>
      <c r="I129" s="84"/>
    </row>
    <row r="130" spans="5:9" s="54" customFormat="1" ht="12">
      <c r="E130" s="82"/>
      <c r="I130" s="84"/>
    </row>
    <row r="131" spans="5:9" s="54" customFormat="1" ht="12">
      <c r="E131" s="82"/>
      <c r="I131" s="84"/>
    </row>
    <row r="132" spans="5:9" s="54" customFormat="1" ht="12">
      <c r="E132" s="82"/>
      <c r="I132" s="84"/>
    </row>
    <row r="133" spans="5:9" s="54" customFormat="1" ht="12">
      <c r="E133" s="82"/>
      <c r="I133" s="84"/>
    </row>
    <row r="134" spans="5:9" s="54" customFormat="1" ht="12">
      <c r="E134" s="82"/>
      <c r="I134" s="84"/>
    </row>
    <row r="135" spans="5:9" s="54" customFormat="1" ht="12">
      <c r="E135" s="82"/>
      <c r="I135" s="84"/>
    </row>
    <row r="136" spans="5:9" s="54" customFormat="1" ht="12">
      <c r="E136" s="82"/>
      <c r="I136" s="84"/>
    </row>
    <row r="137" spans="5:9" s="54" customFormat="1" ht="12">
      <c r="E137" s="82"/>
      <c r="I137" s="84"/>
    </row>
    <row r="138" spans="5:9" s="54" customFormat="1" ht="12">
      <c r="E138" s="82"/>
      <c r="I138" s="84"/>
    </row>
    <row r="139" spans="5:9" s="54" customFormat="1" ht="12">
      <c r="E139" s="82"/>
      <c r="I139" s="84"/>
    </row>
    <row r="140" spans="5:9" s="54" customFormat="1" ht="12">
      <c r="E140" s="82"/>
      <c r="I140" s="84"/>
    </row>
  </sheetData>
  <sheetProtection password="DDDF" sheet="1" objects="1" scenarios="1"/>
  <mergeCells count="20">
    <mergeCell ref="B52:I52"/>
    <mergeCell ref="F9:G9"/>
    <mergeCell ref="B1:I1"/>
    <mergeCell ref="A3:I3"/>
    <mergeCell ref="A4:I4"/>
    <mergeCell ref="A5:B5"/>
    <mergeCell ref="C5:I8"/>
    <mergeCell ref="A6:B6"/>
    <mergeCell ref="A7:B7"/>
    <mergeCell ref="A8:B8"/>
    <mergeCell ref="B23:I23"/>
    <mergeCell ref="A107:I107"/>
    <mergeCell ref="A109:I110"/>
    <mergeCell ref="A9:A10"/>
    <mergeCell ref="B9:B10"/>
    <mergeCell ref="C9:C10"/>
    <mergeCell ref="D9:D10"/>
    <mergeCell ref="E9:E10"/>
    <mergeCell ref="B81:I81"/>
    <mergeCell ref="B11:I11"/>
  </mergeCells>
  <printOptions horizontalCentered="1"/>
  <pageMargins left="0.5905511811023623" right="0.3937007874015748" top="1.1811023622047245" bottom="0.3937007874015748" header="0.5118110236220472" footer="0.31496062992125984"/>
  <pageSetup horizontalDpi="300" verticalDpi="300" orientation="portrait" paperSize="9" scale="59" r:id="rId5"/>
  <rowBreaks count="1" manualBreakCount="1">
    <brk id="51" max="8" man="1"/>
  </rowBreaks>
  <legacyDrawing r:id="rId3"/>
  <legacyDrawingHF r:id="rId4"/>
  <oleObjects>
    <oleObject progId="Word.Picture.8" shapeId="543526" r:id="rId1"/>
    <oleObject progId="Word.Picture.8" shapeId="69037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75" zoomScaleNormal="75" zoomScaleSheetLayoutView="75" zoomScalePageLayoutView="0" workbookViewId="0" topLeftCell="A7">
      <selection activeCell="K18" sqref="K18"/>
    </sheetView>
  </sheetViews>
  <sheetFormatPr defaultColWidth="9.140625" defaultRowHeight="12.75"/>
  <cols>
    <col min="1" max="1" width="7.140625" style="2" bestFit="1" customWidth="1"/>
    <col min="2" max="2" width="50.140625" style="6" bestFit="1" customWidth="1"/>
    <col min="3" max="3" width="13.28125" style="2" bestFit="1" customWidth="1"/>
    <col min="4" max="4" width="13.28125" style="2" customWidth="1"/>
    <col min="5" max="7" width="16.7109375" style="2" customWidth="1"/>
    <col min="8" max="8" width="15.00390625" style="2" bestFit="1" customWidth="1"/>
    <col min="9" max="9" width="17.28125" style="2" customWidth="1"/>
    <col min="10" max="10" width="13.8515625" style="2" bestFit="1" customWidth="1"/>
    <col min="11" max="11" width="14.8515625" style="2" customWidth="1"/>
    <col min="12" max="16384" width="9.140625" style="2" customWidth="1"/>
  </cols>
  <sheetData>
    <row r="1" spans="1:9" ht="73.5" customHeight="1" thickBot="1">
      <c r="A1" s="145" t="s">
        <v>148</v>
      </c>
      <c r="B1" s="145"/>
      <c r="C1" s="145"/>
      <c r="D1" s="145"/>
      <c r="E1" s="145"/>
      <c r="F1" s="145"/>
      <c r="G1" s="145"/>
      <c r="H1" s="145"/>
      <c r="I1" s="48"/>
    </row>
    <row r="2" spans="1:12" s="8" customFormat="1" ht="27.75" customHeight="1">
      <c r="A2" s="124" t="s">
        <v>34</v>
      </c>
      <c r="B2" s="125"/>
      <c r="C2" s="125"/>
      <c r="D2" s="125"/>
      <c r="E2" s="125"/>
      <c r="F2" s="126"/>
      <c r="G2" s="126"/>
      <c r="H2" s="127"/>
      <c r="I2" s="7"/>
      <c r="J2" s="7"/>
      <c r="K2" s="7"/>
      <c r="L2" s="7"/>
    </row>
    <row r="3" spans="1:12" s="1" customFormat="1" ht="21" customHeight="1">
      <c r="A3" s="128" t="s">
        <v>3</v>
      </c>
      <c r="B3" s="129"/>
      <c r="C3" s="129"/>
      <c r="D3" s="129"/>
      <c r="E3" s="129"/>
      <c r="F3" s="130"/>
      <c r="G3" s="130"/>
      <c r="H3" s="131"/>
      <c r="I3" s="9"/>
      <c r="J3" s="9"/>
      <c r="K3" s="9"/>
      <c r="L3" s="9"/>
    </row>
    <row r="4" spans="1:12" ht="15.75">
      <c r="A4" s="116"/>
      <c r="B4" s="117"/>
      <c r="C4" s="117"/>
      <c r="D4" s="117"/>
      <c r="E4" s="117"/>
      <c r="F4" s="117"/>
      <c r="G4" s="117"/>
      <c r="H4" s="118"/>
      <c r="I4" s="5"/>
      <c r="J4" s="5"/>
      <c r="K4" s="5"/>
      <c r="L4" s="5"/>
    </row>
    <row r="5" spans="1:12" ht="19.5" customHeight="1">
      <c r="A5" s="132" t="s">
        <v>4</v>
      </c>
      <c r="B5" s="133"/>
      <c r="C5" s="133"/>
      <c r="D5" s="133"/>
      <c r="E5" s="133"/>
      <c r="F5" s="133"/>
      <c r="G5" s="133"/>
      <c r="H5" s="134"/>
      <c r="I5" s="5"/>
      <c r="J5" s="5"/>
      <c r="K5" s="5"/>
      <c r="L5" s="5"/>
    </row>
    <row r="6" spans="1:12" ht="15.75">
      <c r="A6" s="135" t="str">
        <f>BDI!A7</f>
        <v>LOCAL: Município de Patos de Minas / MG</v>
      </c>
      <c r="B6" s="136"/>
      <c r="C6" s="136"/>
      <c r="D6" s="136"/>
      <c r="E6" s="136"/>
      <c r="F6" s="136"/>
      <c r="G6" s="136"/>
      <c r="H6" s="137"/>
      <c r="I6" s="5"/>
      <c r="J6" s="5"/>
      <c r="K6" s="5"/>
      <c r="L6" s="5"/>
    </row>
    <row r="7" spans="1:12" ht="15.75">
      <c r="A7" s="135" t="str">
        <f>BDI!A8</f>
        <v>DATA: Julho / 2011</v>
      </c>
      <c r="B7" s="136"/>
      <c r="C7" s="136"/>
      <c r="D7" s="136"/>
      <c r="E7" s="136"/>
      <c r="F7" s="136"/>
      <c r="G7" s="136"/>
      <c r="H7" s="137"/>
      <c r="I7" s="5"/>
      <c r="J7" s="5"/>
      <c r="K7" s="5"/>
      <c r="L7" s="5"/>
    </row>
    <row r="8" spans="1:12" ht="15.75">
      <c r="A8" s="108" t="s">
        <v>189</v>
      </c>
      <c r="B8" s="109"/>
      <c r="C8" s="109"/>
      <c r="D8" s="109"/>
      <c r="E8" s="109"/>
      <c r="F8" s="109"/>
      <c r="G8" s="109"/>
      <c r="H8" s="110"/>
      <c r="I8" s="5"/>
      <c r="J8" s="5"/>
      <c r="K8" s="5"/>
      <c r="L8" s="5"/>
    </row>
    <row r="9" spans="1:12" ht="15.75" customHeight="1">
      <c r="A9" s="141" t="s">
        <v>36</v>
      </c>
      <c r="B9" s="143" t="s">
        <v>37</v>
      </c>
      <c r="C9" s="122" t="s">
        <v>38</v>
      </c>
      <c r="D9" s="122" t="s">
        <v>2</v>
      </c>
      <c r="E9" s="138" t="s">
        <v>35</v>
      </c>
      <c r="F9" s="139"/>
      <c r="G9" s="139"/>
      <c r="H9" s="140"/>
      <c r="I9" s="5"/>
      <c r="J9" s="5"/>
      <c r="K9" s="5"/>
      <c r="L9" s="5"/>
    </row>
    <row r="10" spans="1:12" s="11" customFormat="1" ht="15.75" customHeight="1">
      <c r="A10" s="142"/>
      <c r="B10" s="144"/>
      <c r="C10" s="123"/>
      <c r="D10" s="123"/>
      <c r="E10" s="3" t="s">
        <v>0</v>
      </c>
      <c r="F10" s="3" t="s">
        <v>39</v>
      </c>
      <c r="G10" s="3" t="s">
        <v>1</v>
      </c>
      <c r="H10" s="4" t="s">
        <v>33</v>
      </c>
      <c r="I10" s="10"/>
      <c r="J10" s="10"/>
      <c r="K10" s="10"/>
      <c r="L10" s="10"/>
    </row>
    <row r="11" spans="1:12" s="11" customFormat="1" ht="9.75" customHeight="1">
      <c r="A11" s="116"/>
      <c r="B11" s="117"/>
      <c r="C11" s="117"/>
      <c r="D11" s="117"/>
      <c r="E11" s="117"/>
      <c r="F11" s="117"/>
      <c r="G11" s="117"/>
      <c r="H11" s="118"/>
      <c r="I11" s="10"/>
      <c r="J11" s="10"/>
      <c r="K11" s="10"/>
      <c r="L11" s="10"/>
    </row>
    <row r="12" spans="1:11" ht="15.75" customHeight="1">
      <c r="A12" s="111">
        <v>1</v>
      </c>
      <c r="B12" s="90" t="str">
        <f>Orçamento!B11:I11</f>
        <v>Plano de Trabalho Consolidado</v>
      </c>
      <c r="C12" s="115">
        <f>Orçamento!I22</f>
        <v>20872.620000000003</v>
      </c>
      <c r="D12" s="119">
        <f>(C12/$C$28)</f>
        <v>0.04299538942114954</v>
      </c>
      <c r="E12" s="12">
        <v>1</v>
      </c>
      <c r="F12" s="37"/>
      <c r="G12" s="37"/>
      <c r="H12" s="13">
        <f>SUM(E12:G12)</f>
        <v>1</v>
      </c>
      <c r="I12" s="14"/>
      <c r="K12" s="15"/>
    </row>
    <row r="13" spans="1:9" ht="4.5" customHeight="1">
      <c r="A13" s="111"/>
      <c r="B13" s="90"/>
      <c r="C13" s="115"/>
      <c r="D13" s="120"/>
      <c r="E13" s="35"/>
      <c r="F13" s="45"/>
      <c r="G13" s="45"/>
      <c r="H13" s="36"/>
      <c r="I13" s="14"/>
    </row>
    <row r="14" spans="1:11" ht="15.75" customHeight="1">
      <c r="A14" s="111"/>
      <c r="B14" s="90"/>
      <c r="C14" s="115"/>
      <c r="D14" s="121"/>
      <c r="E14" s="16">
        <f>ROUND($C12*E12,2)</f>
        <v>20872.62</v>
      </c>
      <c r="F14" s="16">
        <f>ROUND($C12*F12,2)</f>
        <v>0</v>
      </c>
      <c r="G14" s="16">
        <f>ROUND($C12*G12,2)</f>
        <v>0</v>
      </c>
      <c r="H14" s="16">
        <f>ROUND($C12*H12,2)</f>
        <v>20872.62</v>
      </c>
      <c r="I14" s="14"/>
      <c r="J14" s="14"/>
      <c r="K14" s="17"/>
    </row>
    <row r="15" spans="1:12" s="11" customFormat="1" ht="9.75" customHeight="1">
      <c r="A15" s="116"/>
      <c r="B15" s="117"/>
      <c r="C15" s="117"/>
      <c r="D15" s="117"/>
      <c r="E15" s="117"/>
      <c r="F15" s="117"/>
      <c r="G15" s="117"/>
      <c r="H15" s="118"/>
      <c r="I15" s="10"/>
      <c r="J15" s="10"/>
      <c r="K15" s="10"/>
      <c r="L15" s="10"/>
    </row>
    <row r="16" spans="1:11" ht="32.25" customHeight="1">
      <c r="A16" s="111">
        <v>2</v>
      </c>
      <c r="B16" s="112" t="s">
        <v>134</v>
      </c>
      <c r="C16" s="115">
        <f>Orçamento!I51</f>
        <v>152265.01999999996</v>
      </c>
      <c r="D16" s="119">
        <f>(C16/$C$28)</f>
        <v>0.3136498355318652</v>
      </c>
      <c r="E16" s="12">
        <v>0.7</v>
      </c>
      <c r="F16" s="37">
        <v>0.3</v>
      </c>
      <c r="G16" s="37"/>
      <c r="H16" s="13">
        <f>SUM(E16:G16)</f>
        <v>1</v>
      </c>
      <c r="I16" s="14"/>
      <c r="K16" s="15"/>
    </row>
    <row r="17" spans="1:9" ht="4.5" customHeight="1">
      <c r="A17" s="111"/>
      <c r="B17" s="113"/>
      <c r="C17" s="115"/>
      <c r="D17" s="120"/>
      <c r="E17" s="35"/>
      <c r="F17" s="34"/>
      <c r="G17" s="44"/>
      <c r="H17" s="36"/>
      <c r="I17" s="14"/>
    </row>
    <row r="18" spans="1:11" ht="54.75" customHeight="1">
      <c r="A18" s="111"/>
      <c r="B18" s="114"/>
      <c r="C18" s="115"/>
      <c r="D18" s="121"/>
      <c r="E18" s="16">
        <f>ROUND($C16*E16,2)</f>
        <v>106585.51</v>
      </c>
      <c r="F18" s="16">
        <f>ROUND($C16*F16,2)</f>
        <v>45679.51</v>
      </c>
      <c r="G18" s="16">
        <f>ROUND($C16*G16,2)</f>
        <v>0</v>
      </c>
      <c r="H18" s="16">
        <f>ROUND($C16*H16,2)</f>
        <v>152265.02</v>
      </c>
      <c r="I18" s="14"/>
      <c r="J18" s="14"/>
      <c r="K18" s="17"/>
    </row>
    <row r="19" spans="1:12" s="11" customFormat="1" ht="9.75" customHeight="1">
      <c r="A19" s="116"/>
      <c r="B19" s="117"/>
      <c r="C19" s="117"/>
      <c r="D19" s="117"/>
      <c r="E19" s="117"/>
      <c r="F19" s="117"/>
      <c r="G19" s="117"/>
      <c r="H19" s="118"/>
      <c r="I19" s="10"/>
      <c r="J19" s="10"/>
      <c r="K19" s="10"/>
      <c r="L19" s="10"/>
    </row>
    <row r="20" spans="1:11" ht="36.75" customHeight="1">
      <c r="A20" s="111">
        <v>3</v>
      </c>
      <c r="B20" s="90" t="str">
        <f>Orçamento!B52</f>
        <v>Estudos Ambientais Preliminares – RAP e Proposição – Alternativas Técnicas de Concepção</v>
      </c>
      <c r="C20" s="115">
        <f>Orçamento!I80</f>
        <v>198730.35</v>
      </c>
      <c r="D20" s="119">
        <f>(C20/$C$28)</f>
        <v>0.40936350051173953</v>
      </c>
      <c r="E20" s="12"/>
      <c r="F20" s="37">
        <v>0.7</v>
      </c>
      <c r="G20" s="37">
        <v>0.3</v>
      </c>
      <c r="H20" s="13">
        <f>SUM(E20:G20)</f>
        <v>1</v>
      </c>
      <c r="I20" s="14"/>
      <c r="K20" s="15"/>
    </row>
    <row r="21" spans="1:9" ht="4.5" customHeight="1">
      <c r="A21" s="111"/>
      <c r="B21" s="90"/>
      <c r="C21" s="115"/>
      <c r="D21" s="120"/>
      <c r="E21" s="43"/>
      <c r="F21" s="34"/>
      <c r="G21" s="34"/>
      <c r="H21" s="36"/>
      <c r="I21" s="14"/>
    </row>
    <row r="22" spans="1:11" ht="53.25" customHeight="1">
      <c r="A22" s="111"/>
      <c r="B22" s="90"/>
      <c r="C22" s="115"/>
      <c r="D22" s="121"/>
      <c r="E22" s="16">
        <f>ROUND($C20*E20,2)</f>
        <v>0</v>
      </c>
      <c r="F22" s="16">
        <f>ROUND($C20*F20,2)</f>
        <v>139111.25</v>
      </c>
      <c r="G22" s="16">
        <f>ROUND($C20*G20,2)</f>
        <v>59619.11</v>
      </c>
      <c r="H22" s="16">
        <f>ROUND($C20*H20,2)</f>
        <v>198730.35</v>
      </c>
      <c r="I22" s="14"/>
      <c r="J22" s="14"/>
      <c r="K22" s="17"/>
    </row>
    <row r="23" spans="1:11" ht="9.75" customHeight="1">
      <c r="A23" s="149"/>
      <c r="B23" s="150"/>
      <c r="C23" s="150"/>
      <c r="D23" s="150"/>
      <c r="E23" s="150"/>
      <c r="F23" s="150"/>
      <c r="G23" s="150"/>
      <c r="H23" s="151"/>
      <c r="I23" s="14"/>
      <c r="K23" s="15"/>
    </row>
    <row r="24" spans="1:11" ht="35.25" customHeight="1">
      <c r="A24" s="111">
        <v>4</v>
      </c>
      <c r="B24" s="90" t="str">
        <f>Orçamento!B81</f>
        <v>Relatório Final Estudo de Concepção - Otimização das Medidas Estruturais de Controle, Proposições - Anteprojetos das medidas de controle estruturais, Estudos e Serviços Complementares e Termo de Referência para contratação de empresa para elaboração dos Projetos Básicos e Executivos</v>
      </c>
      <c r="C24" s="115">
        <f>Orçamento!I106</f>
        <v>113593.83</v>
      </c>
      <c r="D24" s="119">
        <f>(C24/$C$28)</f>
        <v>0.23399127453524562</v>
      </c>
      <c r="E24" s="12"/>
      <c r="F24" s="37"/>
      <c r="G24" s="37">
        <v>1</v>
      </c>
      <c r="H24" s="13">
        <f>SUM(E24:G24)</f>
        <v>1</v>
      </c>
      <c r="I24" s="14"/>
      <c r="K24" s="15"/>
    </row>
    <row r="25" spans="1:9" ht="4.5" customHeight="1">
      <c r="A25" s="111"/>
      <c r="B25" s="90"/>
      <c r="C25" s="115"/>
      <c r="D25" s="120"/>
      <c r="E25" s="43"/>
      <c r="F25" s="44"/>
      <c r="G25" s="34"/>
      <c r="H25" s="36"/>
      <c r="I25" s="14"/>
    </row>
    <row r="26" spans="1:11" ht="61.5" customHeight="1">
      <c r="A26" s="111"/>
      <c r="B26" s="90"/>
      <c r="C26" s="115"/>
      <c r="D26" s="121"/>
      <c r="E26" s="16">
        <f>ROUND($C24*E24,2)</f>
        <v>0</v>
      </c>
      <c r="F26" s="16">
        <f>ROUND($C24*F24,2)</f>
        <v>0</v>
      </c>
      <c r="G26" s="16">
        <f>ROUND($C24*G24,2)</f>
        <v>113593.83</v>
      </c>
      <c r="H26" s="16">
        <f>ROUND($C24*H24,2)</f>
        <v>113593.83</v>
      </c>
      <c r="I26" s="14"/>
      <c r="J26" s="14"/>
      <c r="K26" s="17"/>
    </row>
    <row r="27" spans="1:11" ht="9.75" customHeight="1">
      <c r="A27" s="146"/>
      <c r="B27" s="147"/>
      <c r="C27" s="147"/>
      <c r="D27" s="147"/>
      <c r="E27" s="147"/>
      <c r="F27" s="147"/>
      <c r="G27" s="147"/>
      <c r="H27" s="148"/>
      <c r="I27" s="14"/>
      <c r="J27" s="14"/>
      <c r="K27" s="17"/>
    </row>
    <row r="28" spans="1:12" ht="15.75" customHeight="1">
      <c r="A28" s="30"/>
      <c r="B28" s="32" t="s">
        <v>28</v>
      </c>
      <c r="C28" s="18">
        <f>C12+C16+C20+C24</f>
        <v>485461.82</v>
      </c>
      <c r="D28" s="18"/>
      <c r="E28" s="19"/>
      <c r="F28" s="20"/>
      <c r="G28" s="20"/>
      <c r="H28" s="21"/>
      <c r="I28" s="5"/>
      <c r="J28" s="5"/>
      <c r="K28" s="5"/>
      <c r="L28" s="5"/>
    </row>
    <row r="29" spans="1:12" ht="15.75" customHeight="1">
      <c r="A29" s="31"/>
      <c r="B29" s="33" t="s">
        <v>40</v>
      </c>
      <c r="C29" s="22"/>
      <c r="D29" s="22"/>
      <c r="E29" s="23">
        <f>E14+E18+E22+E26</f>
        <v>127458.12999999999</v>
      </c>
      <c r="F29" s="23">
        <f>F14+F18+F22+F26+0.01</f>
        <v>184790.77000000002</v>
      </c>
      <c r="G29" s="23">
        <f>G14+G18+G22+G26</f>
        <v>173212.94</v>
      </c>
      <c r="H29" s="21">
        <f>SUM(E29:G29)</f>
        <v>485461.84</v>
      </c>
      <c r="I29" s="14"/>
      <c r="J29" s="14"/>
      <c r="K29" s="14"/>
      <c r="L29" s="14"/>
    </row>
    <row r="30" spans="1:12" ht="15.75" customHeight="1">
      <c r="A30" s="31"/>
      <c r="B30" s="33" t="s">
        <v>41</v>
      </c>
      <c r="C30" s="22"/>
      <c r="D30" s="22"/>
      <c r="E30" s="24">
        <f>E29/$C$28</f>
        <v>0.2625502660538783</v>
      </c>
      <c r="F30" s="24">
        <f>F29/$C$28</f>
        <v>0.38064944015576757</v>
      </c>
      <c r="G30" s="24">
        <f>G29/$C$28</f>
        <v>0.3568003349882386</v>
      </c>
      <c r="H30" s="25">
        <f>SUM(E30:G30)</f>
        <v>1.0000000411978847</v>
      </c>
      <c r="I30" s="26"/>
      <c r="J30" s="26"/>
      <c r="K30" s="26"/>
      <c r="L30" s="26"/>
    </row>
    <row r="31" spans="1:12" ht="15.75" customHeight="1">
      <c r="A31" s="31"/>
      <c r="B31" s="33" t="s">
        <v>42</v>
      </c>
      <c r="C31" s="22"/>
      <c r="D31" s="22"/>
      <c r="E31" s="23">
        <f>E29</f>
        <v>127458.12999999999</v>
      </c>
      <c r="F31" s="27">
        <f>E31+F29</f>
        <v>312248.9</v>
      </c>
      <c r="G31" s="27">
        <f>F31+G29</f>
        <v>485461.84</v>
      </c>
      <c r="H31" s="21">
        <f>G31</f>
        <v>485461.84</v>
      </c>
      <c r="I31" s="14"/>
      <c r="J31" s="14"/>
      <c r="K31" s="14"/>
      <c r="L31" s="14"/>
    </row>
    <row r="32" spans="1:12" ht="15.75" customHeight="1" thickBot="1">
      <c r="A32" s="38"/>
      <c r="B32" s="39" t="s">
        <v>43</v>
      </c>
      <c r="C32" s="40"/>
      <c r="D32" s="40"/>
      <c r="E32" s="41">
        <f>E31/$C$28</f>
        <v>0.2625502660538783</v>
      </c>
      <c r="F32" s="41">
        <f>F31/$C$28</f>
        <v>0.643199706209646</v>
      </c>
      <c r="G32" s="41">
        <f>G31/$C$28</f>
        <v>1.0000000411978847</v>
      </c>
      <c r="H32" s="42">
        <f>G32</f>
        <v>1.0000000411978847</v>
      </c>
      <c r="I32" s="28"/>
      <c r="J32" s="28"/>
      <c r="K32" s="28"/>
      <c r="L32" s="28"/>
    </row>
    <row r="33" spans="9:12" ht="15.75">
      <c r="I33" s="5"/>
      <c r="J33" s="5"/>
      <c r="K33" s="5"/>
      <c r="L33" s="5"/>
    </row>
    <row r="34" spans="9:12" ht="15.75">
      <c r="I34" s="5"/>
      <c r="J34" s="5"/>
      <c r="K34" s="5"/>
      <c r="L34" s="5"/>
    </row>
    <row r="35" spans="9:12" ht="15.75">
      <c r="I35" s="5"/>
      <c r="J35" s="5"/>
      <c r="K35" s="5"/>
      <c r="L35" s="5"/>
    </row>
    <row r="36" spans="2:12" ht="15.75">
      <c r="B36" s="29"/>
      <c r="I36" s="5"/>
      <c r="J36" s="5"/>
      <c r="K36" s="5"/>
      <c r="L36" s="5"/>
    </row>
    <row r="37" spans="9:12" ht="15.75">
      <c r="I37" s="5"/>
      <c r="J37" s="5"/>
      <c r="K37" s="5"/>
      <c r="L37" s="5"/>
    </row>
  </sheetData>
  <sheetProtection/>
  <mergeCells count="34">
    <mergeCell ref="A1:H1"/>
    <mergeCell ref="A27:H27"/>
    <mergeCell ref="A19:H19"/>
    <mergeCell ref="B24:B26"/>
    <mergeCell ref="D24:D26"/>
    <mergeCell ref="D20:D22"/>
    <mergeCell ref="C20:C22"/>
    <mergeCell ref="A23:H23"/>
    <mergeCell ref="C24:C26"/>
    <mergeCell ref="A24:A26"/>
    <mergeCell ref="A6:H6"/>
    <mergeCell ref="A7:H7"/>
    <mergeCell ref="A12:A14"/>
    <mergeCell ref="E9:H9"/>
    <mergeCell ref="B12:B14"/>
    <mergeCell ref="C12:C14"/>
    <mergeCell ref="A9:A10"/>
    <mergeCell ref="A11:H11"/>
    <mergeCell ref="B9:B10"/>
    <mergeCell ref="C9:C10"/>
    <mergeCell ref="A2:H2"/>
    <mergeCell ref="A3:H3"/>
    <mergeCell ref="A5:H5"/>
    <mergeCell ref="A4:H4"/>
    <mergeCell ref="A8:H8"/>
    <mergeCell ref="A20:A22"/>
    <mergeCell ref="B20:B22"/>
    <mergeCell ref="B16:B18"/>
    <mergeCell ref="C16:C18"/>
    <mergeCell ref="A15:H15"/>
    <mergeCell ref="A16:A18"/>
    <mergeCell ref="D16:D18"/>
    <mergeCell ref="D9:D10"/>
    <mergeCell ref="D12:D14"/>
  </mergeCells>
  <conditionalFormatting sqref="E13:H13 E25:H25 E21:H21 E17:H17">
    <cfRule type="cellIs" priority="3" dxfId="1" operator="equal" stopIfTrue="1">
      <formula>0</formula>
    </cfRule>
    <cfRule type="cellIs" priority="4" dxfId="0" operator="greaterThanOrEqual" stopIfTrue="1">
      <formula>0</formula>
    </cfRule>
  </conditionalFormatting>
  <printOptions horizontalCentered="1" verticalCentered="1"/>
  <pageMargins left="0.5905511811023623" right="0.5905511811023623" top="0.984251968503937" bottom="0.7874015748031497" header="0.984251968503937" footer="0.7874015748031497"/>
  <pageSetup horizontalDpi="300" verticalDpi="300" orientation="landscape" paperSize="9" scale="68" r:id="rId4"/>
  <colBreaks count="1" manualBreakCount="1">
    <brk id="8" max="65535" man="1"/>
  </colBreaks>
  <legacyDrawing r:id="rId3"/>
  <oleObjects>
    <oleObject progId="Word.Picture.8" shapeId="557550" r:id="rId1"/>
    <oleObject progId="Word.Picture.8" shapeId="5591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Araguaia Engenharia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emerson</cp:lastModifiedBy>
  <cp:lastPrinted>2011-08-29T10:59:35Z</cp:lastPrinted>
  <dcterms:created xsi:type="dcterms:W3CDTF">2007-05-04T15:36:59Z</dcterms:created>
  <dcterms:modified xsi:type="dcterms:W3CDTF">2012-01-13T18:47:59Z</dcterms:modified>
  <cp:category/>
  <cp:version/>
  <cp:contentType/>
  <cp:contentStatus/>
</cp:coreProperties>
</file>