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Override PartName="/xl/embeddings/oleObject_0_1.bin" ContentType="application/vnd.openxmlformats-officedocument.oleObject"/>
  <Override PartName="/xl/embeddings/oleObject_1_0.bin" ContentType="application/vnd.openxmlformats-officedocument.oleObject"/>
  <Override PartName="/xl/embeddings/oleObject_1_1.bin" ContentType="application/vnd.openxmlformats-officedocument.oleObject"/>
  <Override PartName="/xl/embeddings/oleObject_1_2.bin" ContentType="application/vnd.openxmlformats-officedocument.oleObject"/>
  <Override PartName="/xl/embeddings/oleObject_2_0.bin" ContentType="application/vnd.openxmlformats-officedocument.oleObject"/>
  <Override PartName="/xl/embeddings/oleObject_2_1.bin" ContentType="application/vnd.openxmlformats-officedocument.oleObject"/>
  <Override PartName="/xl/embeddings/oleObject_3_0.bin" ContentType="application/vnd.openxmlformats-officedocument.oleObject"/>
  <Override PartName="/xl/embeddings/oleObject_3_1.bin" ContentType="application/vnd.openxmlformats-officedocument.oleObject"/>
  <Override PartName="/xl/embeddings/oleObject_4_0.bin" ContentType="application/vnd.openxmlformats-officedocument.oleObject"/>
  <Override PartName="/xl/embeddings/oleObject_4_1.bin" ContentType="application/vnd.openxmlformats-officedocument.oleObject"/>
  <Override PartName="/xl/embeddings/oleObject_4_2.bin" ContentType="application/vnd.openxmlformats-officedocument.oleObject"/>
  <Override PartName="/xl/embeddings/oleObject_5_0.bin" ContentType="application/vnd.openxmlformats-officedocument.oleObject"/>
  <Override PartName="/xl/embeddings/oleObject_5_1.bin" ContentType="application/vnd.openxmlformats-officedocument.oleObject"/>
  <Override PartName="/xl/embeddings/oleObject_6_0.bin" ContentType="application/vnd.openxmlformats-officedocument.oleObject"/>
  <Override PartName="/xl/embeddings/oleObject_6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firstSheet="1" activeTab="4"/>
  </bookViews>
  <sheets>
    <sheet name="SINTETICO_PAC_OBRA_3000" sheetId="1" r:id="rId1"/>
    <sheet name="CRON OBRA" sheetId="2" r:id="rId2"/>
    <sheet name="BDI OBRA" sheetId="3" r:id="rId3"/>
    <sheet name="ANEXO 01 AR COND" sheetId="4" r:id="rId4"/>
    <sheet name="CRON AC" sheetId="5" r:id="rId5"/>
    <sheet name="BDI AC" sheetId="6" r:id="rId6"/>
    <sheet name="BDI AC RED" sheetId="7" r:id="rId7"/>
  </sheets>
  <externalReferences>
    <externalReference r:id="rId10"/>
  </externalReferences>
  <definedNames>
    <definedName name="_xlnm.Print_Titles_2">#REF!</definedName>
    <definedName name="_xlnm.Print_Area" localSheetId="2">'BDI OBRA'!$A$1:$K$40</definedName>
    <definedName name="_xlnm.Print_Area" localSheetId="1">'CRON OBRA'!$A$1:$Z$82</definedName>
    <definedName name="_xlnm.Print_Area" localSheetId="0">'SINTETICO_PAC_OBRA_3000'!$A$1:$G$474</definedName>
    <definedName name="Excel_BuiltIn_Print_Titles_2_1">#REF!</definedName>
    <definedName name="_xlnm.Print_Titles" localSheetId="1">'CRON OBRA'!$1:$13</definedName>
    <definedName name="_xlnm.Print_Titles" localSheetId="0">'SINTETICO_PAC_OBRA_3000'!$1:$13</definedName>
  </definedNames>
  <calcPr fullCalcOnLoad="1"/>
</workbook>
</file>

<file path=xl/sharedStrings.xml><?xml version="1.0" encoding="utf-8"?>
<sst xmlns="http://schemas.openxmlformats.org/spreadsheetml/2006/main" count="1479" uniqueCount="794">
  <si>
    <t>VALVULA DESCARGA 1.1/2" COM REGISTRO, ACABAMENTO EM METAL CROMADO - FORNECIMENTO E INSTALACAO</t>
  </si>
  <si>
    <t xml:space="preserve">73947/009 </t>
  </si>
  <si>
    <t>SABONETEIRA LOUCA BRANCA 15X15CM - FORNECIMENTO E INSTALACAO</t>
  </si>
  <si>
    <t xml:space="preserve">73947/012 </t>
  </si>
  <si>
    <t>PORTA SABONETE LIQUIDO FORNECIMENTO</t>
  </si>
  <si>
    <t xml:space="preserve">73949/007 </t>
  </si>
  <si>
    <t>TORNEIRA CROMADA TUBO MOVEL PARA BANCADA 1/2" OU 3/4" PARA PIA DE COZINHA, PADRAO ALTO - FORNECIMENTO E INSTALACAO</t>
  </si>
  <si>
    <t xml:space="preserve">73949/008 </t>
  </si>
  <si>
    <t>TORNEIRA CROMADA 1/2" OU 3/4" PARA TANQUE, PADRÃO POPULAR - FORNECIMENTO E INSTALACAO</t>
  </si>
  <si>
    <t xml:space="preserve">74057/002A </t>
  </si>
  <si>
    <t>LAVATÓRIO COM COLUNA SUSPENSA, EM LOUÇA, NA COR BRANCO GELO, (REF. DECA CÓDIGO LINHA VOGUE PLUS CÓDIGO CS1 L51 OU EQUIVALENTE TÉCNICO) BRANCO GELO, COM SIFAO PLASTICO TIPO COPO 1", VALVULA EM PLASTICO BRANCO 1" E CONJUNTO PARA FIXACAO- FORNECIMENTO E INSTALACAO</t>
  </si>
  <si>
    <t xml:space="preserve">74125/002 </t>
  </si>
  <si>
    <t>ESPELHO CRISTAL ESPESSURA 4MM, COM MOLDURA EM ALUMINIO E COMPENSADO 6MM PLASTIFICADO COLADO</t>
  </si>
  <si>
    <t xml:space="preserve">74193/001B </t>
  </si>
  <si>
    <t>BACIA COM CAIXA ACOPLADA BOTÃO COM DUPLO ACIONAMENTO LINHA IZY COD. CP111/P111, REF. DECA COM SISTEMA VDR (VOLUME DE DESCARGA REDUZIDO) OU EQUIVALENTE TÉCNICO</t>
  </si>
  <si>
    <t xml:space="preserve">80660B </t>
  </si>
  <si>
    <t>TORNEIRA CROMADA C/ ALAVANCA, P/ PNE, APROVADA PELA NBR 9050, PRESSMATIC OU EQUIVALENTE - FORNECIMENTO E INSTALACAO</t>
  </si>
  <si>
    <t>BARRA APOIO EM INOX DIAM. 40MM - CONTORNO LAVATORIO</t>
  </si>
  <si>
    <t xml:space="preserve">BARRA DE APOIO DECA LINHA CONFORTO CÓD. 2310 EBR - 80 CM </t>
  </si>
  <si>
    <t xml:space="preserve">COT.73949/009A </t>
  </si>
  <si>
    <t>TORNEIRA C/ REGULAGEM DE VAZÃO POR MEIO DE REGISTRO INTEGRADO, ACABAMENTO CROMADO (REF. DECA LINHA PROFISSIONAL, DECAMATIC CÓDIGO 1170C OU SIMILAR) - FORNECIMENTO E INSTALACAO</t>
  </si>
  <si>
    <t xml:space="preserve">COT.80660 </t>
  </si>
  <si>
    <t>ESTACA A TRADO(BROCA) D=30 CM C/CONCRETO FCK=15MPA SEM ACO MOLDADA IN-LOCO</t>
  </si>
  <si>
    <t>VOLUME EST. 25 CM</t>
  </si>
  <si>
    <t>VOLUME EST. 30 CM</t>
  </si>
  <si>
    <t>PREÇO EST. 30 CM PROPORCIONAL A ESTACA DE 25 CM</t>
  </si>
  <si>
    <t xml:space="preserve">INFRA-ESTRUTURA </t>
  </si>
  <si>
    <t>ALARME BANHEIRO DEFICIENTES SONORO E VISUAL - FORNECIMENTO E INSTALACAO</t>
  </si>
  <si>
    <t xml:space="preserve">CPS.73947/007A </t>
  </si>
  <si>
    <t xml:space="preserve">CUBA UNIVERSAL PARA EMBUTIR, OVAL (REF. DECA CÓDIGO L37 OU SIMILAR) COR: BRANCO GELO (INCLUSIVE VALVULA, ENGATE, SIFÃO) </t>
  </si>
  <si>
    <t xml:space="preserve">CPS.74129/002A </t>
  </si>
  <si>
    <t>PREFEITURA  DE PATOS DE MINAS</t>
  </si>
  <si>
    <t>Secretaria  Municipal de Planejamento e Urbanismo</t>
  </si>
  <si>
    <t xml:space="preserve">PROF. RESP.: MARIA IGNÊS SILVÉRIO                     </t>
  </si>
  <si>
    <t>CREA: MG-30.465/D</t>
  </si>
  <si>
    <t xml:space="preserve">DATA : </t>
  </si>
  <si>
    <t xml:space="preserve">BDI: </t>
  </si>
  <si>
    <t>ORÇAMENTO SINTÉTICO DE OBRA</t>
  </si>
  <si>
    <t>REFERENCIA DE PREÇOS: TABELA DE PREÇOS SINAPI - 12/09/2011</t>
  </si>
  <si>
    <t>COT.CULTURA03</t>
  </si>
  <si>
    <t>DUTO AÉREO 250MM X 100MM (PARA DISTRIBUIÇÃO DOS CIRCUITOS DA CABINE ATÉ O FUNDO DO PALCO)</t>
  </si>
  <si>
    <t xml:space="preserve">COT.71278 </t>
  </si>
  <si>
    <t>EMENDA TIPO U P/ ELETROCALHA 100X50MM</t>
  </si>
  <si>
    <t>DISJUNTOR DR TRIPOLAR 70A</t>
  </si>
  <si>
    <t>CÉLULA FOTOVOLTÁICA</t>
  </si>
  <si>
    <t xml:space="preserve">COT.ELE.001 </t>
  </si>
  <si>
    <t>REATOR INVERSOR DE EMERGÊNCIA COD. 02466 INTRAL OU EQUIVALENTE TÉCNICOU</t>
  </si>
  <si>
    <t>TOMADA UNIVERSAL 2P+T, NO PISO, PADRÃO ABNT, C/ PLACA, 10A-250V - CONFORME NORMA NBR 14136</t>
  </si>
  <si>
    <t>TOMADAS 2P+T H=130CM COM PLACA - CONFORME NBR 14136</t>
  </si>
  <si>
    <t>TOMADAS 2P+T COM PLACA PARA AR CONDICIONADO, 150W - CONFORME NBR 14136</t>
  </si>
  <si>
    <t>TOMADAS 2P+T H=30CM COM PLACA - CONFORME NBR 14136</t>
  </si>
  <si>
    <t>CABO DE COBRE ISOLADO PVC RESISTENTE A CHAMA 450/750 V 2,5 MM2 FORNECIMENTO E INSTALACAO (FASE - PRETO)</t>
  </si>
  <si>
    <t>CABO DE COBRE ISOLADO PVC RESISTENTE A CHAMA 450/750 V 2,5 MM2 FORNECIMENTO E INSTALACAO (NEUTRO - AZUL)</t>
  </si>
  <si>
    <t>CABO DE COBRE ISOLADO PVC RESISTENTE A CHAMA 450/750 V 2,5 MM2 FORNECIMENTO E INSTALACAO (RETORNO - BRANCO)</t>
  </si>
  <si>
    <t>CABO DE COBRE ISOLADO PVC RESISTENTE A CHAMA 450/750 V 2,5 MM2 FORNECIMENTO E INSTALACAO (TERRA - VERDE)</t>
  </si>
  <si>
    <t>CABO DE COBRE ISOLADO PVC RESISTENTE A CHAMA 450/750 V 4 MM2 FORNECIMENTO E INSTALACAO (FASE - PRETO)</t>
  </si>
  <si>
    <t>CABO DE COBRE ISOLADO PVC RESISTENTE A CHAMA 450/750 V 4 MM2 FORNECIMENTO E INSTALACAO (NEUTRO - AZUL)</t>
  </si>
  <si>
    <t>CABO DE COBRE ISOLADO PVC RESISTENTE A CHAMA 450/750 V 4 MM2 FORNECIMENTO E INSTALACAO (RETORNO - BRANCO)</t>
  </si>
  <si>
    <t>CABO DE COBRE ISOLADO PVC RESISTENTE A CHAMA 450/750 V 4 MM2 FORNECIMENTO E INSTALACAO (TERRA - VERDE)</t>
  </si>
  <si>
    <t>CABO DE COBRE ISOLADO PVC RESISTENTE A CHAMA 450/750 V 10 MM2 FORNECIMENTO E INSTALACAO (FASE - PRETO)</t>
  </si>
  <si>
    <t>CABO DE COBRE ISOLADO PVC RESISTENTE A CHAMA 450/750 V 10 MM2 FORNECIMENTO E INSTALACAO (NEUTRO - AZUL)</t>
  </si>
  <si>
    <t>CABO DE COBRE ISOLADO PVC RESISTENTE A CHAMA 450/750 V 10 MM2 FORNECIMENTO E INSTALACAO (VERDE - TERRA)</t>
  </si>
  <si>
    <t>CABO DE COBRE ISOLADO PVC RESISTENTE A CHAMA 450/750 V 16 MM2 FORNECIMENTO E INSTALACAO (PRETO - FASE)</t>
  </si>
  <si>
    <t>CABO DE COBRE ISOLADO PVC RESISTENTE A CHAMA 450/750 V 16 MM2 FORNECIMENTO E INSTALACAO (AZUL - NEUTRO)</t>
  </si>
  <si>
    <t>CABO DE COBRE ISOLADO PVC RESISTENTE A CHAMA 450/750 V 16 MM2 FORNECIMENTO E INSTALACAO (VERDE - TERRA)</t>
  </si>
  <si>
    <t>DISJUNTOR MONOPOLAR, 16A</t>
  </si>
  <si>
    <t>DISJUNTOR A SECO 1P20A</t>
  </si>
  <si>
    <t>DISJUNTOR TERMOMAGNÉTICO MONOPOLAR 10A - DIN</t>
  </si>
  <si>
    <t>DISJUNTOR A SECO TRIPOLAR 40A - DIN</t>
  </si>
  <si>
    <t xml:space="preserve">CPS.74131/005A </t>
  </si>
  <si>
    <t>QUADRO DE DISTRIBUIÇÃO COM BARRAMENTO + GERAL, PARA DISJUNTORES DIN, PADRÃO EMBUTIR,CAPACIDADE DO BARRAMENTO 100A, PARA 24 DISJUNTORES, COMPLETO, REF. CEMAR LEGRANDQDETG-U 904022</t>
  </si>
  <si>
    <t xml:space="preserve">CPS.74131/007 </t>
  </si>
  <si>
    <t>QUADRO DE DISTRIBUIÇÃO COM BARRAMENTO + GERAL, PARA DISJUNTORES DIN, PADRÃO EMBUTIR, CAPACIDADE DO BARRAMENTO 100A, PARA 36 DISJUNTORES, COMPLETO, REF. CEMAR LEGRANDDIN/UL - QDETG-U 904026</t>
  </si>
  <si>
    <t xml:space="preserve">CPS.74248/001 </t>
  </si>
  <si>
    <t>CAIXA DE PASSAGEM EM ALVENARIA COM TAMPA METÁLICA 60X40X40 CM</t>
  </si>
  <si>
    <t xml:space="preserve">ELÉTRICA – PE-SPDA-PEC </t>
  </si>
  <si>
    <t>CABO DE COBRE NU 35 MM2</t>
  </si>
  <si>
    <t>CABO DE COBRE NU 50 MM2</t>
  </si>
  <si>
    <t xml:space="preserve">AGS.4375 </t>
  </si>
  <si>
    <t>BUCHA DE NYLON Nº6 C/ PARAFUSO</t>
  </si>
  <si>
    <t xml:space="preserve">COT.1577 </t>
  </si>
  <si>
    <t>PRESILHA EM LATÃO ESTANHADO PARA FIXAÇÃO DIRETA DE CABOS, LARGURA 15MM, FURAÇÃO 5MM, PARA CABO #35,0MM2. REFERÊNCIA TERMOTÉCNICA TEL-744</t>
  </si>
  <si>
    <t xml:space="preserve">COT.1577A </t>
  </si>
  <si>
    <t>CLIPS GALVANIZADO PARA CONEXÃO DE BARRAS DE 8 A 10MM DE DIÂMETRO REF. : TEL - 5238 TERMOTÉCNICA OU EQUIVALENTE</t>
  </si>
  <si>
    <t xml:space="preserve">COT.1578 </t>
  </si>
  <si>
    <t>PARAFUSO FENDA EM AÇO INOX AUTOATARRACHANTE 4,2" X 32MM, REF. TERMOTÉCNICA TEL-5333</t>
  </si>
  <si>
    <t xml:space="preserve">COT.72315 </t>
  </si>
  <si>
    <t>SELANTE DE POLIURETANO, SIKAFLEX, REF. TERMOTÉCNICA TEL-5905 OU EQUIVALENTE</t>
  </si>
  <si>
    <t xml:space="preserve">COT.73918/003 </t>
  </si>
  <si>
    <t>CAIXA DE EQUALIZACAO DE POTENCIAIS METALICA 200MMX200MMX90MM, EM AÇO, BARRAMENTO 6MM DE ESPESSURA, 8 TERMINAIS DE 16MM2 + 1 DE 50MM2, REF. TERMOTÉCNICA TEL-901</t>
  </si>
  <si>
    <t xml:space="preserve">ELETRICA - PE-SDAI-ADM (SISTEMA DE DETECÇÃO ALARME E INCENDIO) </t>
  </si>
  <si>
    <t>VALOR (R$)/BDI INCLUSO</t>
  </si>
  <si>
    <t>%</t>
  </si>
  <si>
    <t>MÊS 01</t>
  </si>
  <si>
    <t>MÊS 02</t>
  </si>
  <si>
    <t>MÊS 03</t>
  </si>
  <si>
    <t>MÊS 04</t>
  </si>
  <si>
    <t>MÊS 05</t>
  </si>
  <si>
    <t>MÊS 06</t>
  </si>
  <si>
    <t>R$</t>
  </si>
  <si>
    <t xml:space="preserve"> %</t>
  </si>
  <si>
    <t>% ACUM.</t>
  </si>
  <si>
    <t xml:space="preserve">TOTAL GERAL: </t>
  </si>
  <si>
    <t>PRAÇA 3000 - PISTA DE SKATE - TIPO E DIM.70 X 13,2 CM</t>
  </si>
  <si>
    <t xml:space="preserve">CMV 3000.24 </t>
  </si>
  <si>
    <t>PRAÇA 3000 - BICICLETÁRIO 3 - TIPO E DIM.70 X 13,2 CM</t>
  </si>
  <si>
    <t xml:space="preserve">CMV 3000.25 </t>
  </si>
  <si>
    <t>PRAÇA 3000 - PLAYGROUND - TIPO E DIM.70 X 13,2 CM</t>
  </si>
  <si>
    <t xml:space="preserve">CMV 3000.26 </t>
  </si>
  <si>
    <t>PRAÇA 3000 - EQUIP. GINÁSTICA - TIPO E DIM.70 X 13,2 CM</t>
  </si>
  <si>
    <t xml:space="preserve">CMV 3000.27 </t>
  </si>
  <si>
    <t>PRAÇA 3000 - MESA DE JOGOS - TIPO E DIM.70 X 13,2 CM</t>
  </si>
  <si>
    <t xml:space="preserve">CMV 3000.28 </t>
  </si>
  <si>
    <t>QUADRA COBERTA - QUADRA COBERTA - TIPO B DIM.45 X 8,5 CM</t>
  </si>
  <si>
    <t>CMV 3000.29</t>
  </si>
  <si>
    <t xml:space="preserve">CORRIMÃO CONFORME NBR- 9050 EM TUBO INDUSTRIAL DIAM. 1 1/2", INCLUSIVE PINTURA COM ESMALTE SINTÉTICO (2 DEMÃOS) SOBRE ZARCÃO (1 DEMÃO) </t>
  </si>
  <si>
    <t>PLACAS DE SINALIZAÇÃO DE SEGURANÇA EM PLACAS COM LETRAS FOSFORESCENTE, 2 “NÃO FUME” E 2 “SAÍDA “</t>
  </si>
  <si>
    <t xml:space="preserve">SERVIÇOS COMPLEMENTARES </t>
  </si>
  <si>
    <t xml:space="preserve">270802A </t>
  </si>
  <si>
    <t>BRINQUEDO INFANTIL MULTIUSO DE EUCALIPTO ROLIÇO TRATADO EM AUTOCLAVE PINTADOS COM ESMALTE SINTÉTICO NAS CORES VERDES, AZUL, VERMELHO E AMARELO.(CONFORME ESPECIFICAÇÃO)</t>
  </si>
  <si>
    <t xml:space="preserve">CJ </t>
  </si>
  <si>
    <t>ESPALDAR EM TUBO GALVANIZADO DIAM 2", INCLUSIVE PINTURA EM ESMALTE SINTÉTICO ACETINADO COR VERDE FOLHA (REF. 0114 SUVINIL OU EQUIVALENTE) E TORA DE EUCALIPTO AUTOCLAVADO DIAM. 13CM INCLUSIVE APLICAÇÃO DE OSMOCOLOR, CONFORME PROJETO</t>
  </si>
  <si>
    <t xml:space="preserve">270802E </t>
  </si>
  <si>
    <t>CONJUNTO PRANCHA ABDOMINAL MODELOS A, B, C E D; EM ALVENARIA COM ACABAMENTO EM CHAPISCO E CAIAÇÃO E CIMENTO QUEIMADO COR NATURAL E=5CM (CONFORME PROJETO)</t>
  </si>
  <si>
    <t xml:space="preserve">73967/002 </t>
  </si>
  <si>
    <t>PLANTIO DE ARVORE COM ALTURA MAIOR DO QUE 2,00 METROS (PALMEIRAS)</t>
  </si>
  <si>
    <t xml:space="preserve">74236/001 </t>
  </si>
  <si>
    <t>GRAMA BATATAIS EM PLACAS (50X50)CM</t>
  </si>
  <si>
    <t xml:space="preserve">74244/001 </t>
  </si>
  <si>
    <t>ALAMBRADO PARA QUADRA POLIESPORTIVA, ESTRUTURADA EM TUBO DE AÇO GALV. C/COSTURA DIN 2440, DIÂMETRO 2", E TELA EM ARAME GALVANIZADO 14 BWG, MALHA QUADRADA COM ABERTURA DE 2".</t>
  </si>
  <si>
    <t>MASTRO P/BANDEIRA FERRO GALVANIZADO 3UN</t>
  </si>
  <si>
    <t>BANCO DE CONCRETO POLIDO (1,50X0,45)M</t>
  </si>
  <si>
    <t>BARRA ASSIMÉTRICA EM TUBO GALVANIZADO DIAM 2", INCLUSIVE PINTURA EM ESMALTE SINTÉTICO ACETINADO COR VERDE FOLHA (REF. 0114 SUVINIL OU EQUIVALENTE) E TORA DE EUCALIPTO AUTOCLAVADO DIAM. 13CM, INCLUSIVE APLICAÇÃO DE OSMOCOLOR, CONFORME PROJETO</t>
  </si>
  <si>
    <t>BARRA PARALELA EM TUBO GALVANIZADO DIAM 2", INCLUSIVE PINTURA EM ESMALTE SINTÉTICO ACETINADO COR VERDE FOLHA (REF. 0114 SUVINIL OU EQUIVALENTE) E TORA DE EUCALIPTO AUTOCLAVADO DIAM. 13CM INCLUSIVE APLICAÇÃO DE OSMOCOLOR, CONFORME PROJETO</t>
  </si>
  <si>
    <t>GRANITO POLIDO PARA BANCADA E=2,5 CM, VERDE UBATUBA (BANCADA PIA 3,30X0,60)M - FORNECIMENTO E INSTALACAO</t>
  </si>
  <si>
    <t>DATA BASE: SETEMBRO/2011</t>
  </si>
  <si>
    <t xml:space="preserve">REFERENCIA DE PREÇOS: TABELA DE PREÇOS SINAPI </t>
  </si>
  <si>
    <t>CONTRATO: 0363.358-88</t>
  </si>
  <si>
    <t>GRANITO POLIDO PARA BANCADA E=2,5 CM, VERDE UBATUBA (BALCAO EM GRANITO 2,10X0,60)M - FORNECIMENTO E INSTALACAO</t>
  </si>
  <si>
    <t>GRANITO POLIDO PARA BANCADA E=2,5 CM, VERDE UBATUBA (BANCADA LAVATÓRIO 1,90X0,50)M - FORNECIMENTO E INSTALACAO</t>
  </si>
  <si>
    <t>COT.74126/001F</t>
  </si>
  <si>
    <t>GRANITO POLIDO PARA BANCADA E=2,5 CM, VERDE UBATUBA (BANCADA LAVATÓRIO 0,8 X 0,5)M - FORNECIMENTO E INSTALACAO</t>
  </si>
  <si>
    <t xml:space="preserve">COT.SCO.002 </t>
  </si>
  <si>
    <t>REDE DE PROTEÇÃO QUADRA COBERTA EM NYLON 100% POLIAMIDA (NYLON) MALHA 10X10 EM 02MM NA COR BRANCA FIXADA EM ESTRUTURA METÁLICA</t>
  </si>
  <si>
    <t xml:space="preserve">COT.SCO.010 </t>
  </si>
  <si>
    <t>LIXEIRA DE COLETA SELETIVA COM 4 (QUATRO) CESTOS DE 50L EM POLIETILENO DE ALTA DENSIDADE COM PROTEÇÃO UV E ESTRUTURA METÁLICA EM AÇO CARBONO COM PINTURA EPOXI.</t>
  </si>
  <si>
    <t xml:space="preserve">CPS.180318 </t>
  </si>
  <si>
    <t xml:space="preserve">SUPORTE PARA BICICLETA TIPO “U” INVERTIDO, DE FERRO GALVANIZADO DIAM.: 2” COM LAGURA DE 60CM E ALTURA DE 90CM, PINTADO NA COR VERMELHO. </t>
  </si>
  <si>
    <t xml:space="preserve">CPS.271303 </t>
  </si>
  <si>
    <t>CONJUNTO DE MESA COM 4 BANCOS EM CONCRETO POLIDO (CONFORME PROJETO)</t>
  </si>
  <si>
    <t xml:space="preserve">CPS.73967/003A </t>
  </si>
  <si>
    <t>PLANTIO DE ARVORE ISOLADA ATÉ 2,00M DE ALT, DE QUALQUER ESPECIE, EM LOGRADOURO PUBLICO, INCLUSIVE TRANSPORTE DE TERRA PRETA. INCLUSIVE FORNECIMENTO DA ARVORE</t>
  </si>
  <si>
    <t xml:space="preserve">CPS.73967/003B </t>
  </si>
  <si>
    <t>PLANTIO DE ARBUSTOS, EM LOGRADOURO PUBLICO, INCLUSIVE TRANSPORTE DE TERRA PRETA. INCLUSIVE FORNECIMENTO DA ARVORE</t>
  </si>
  <si>
    <t xml:space="preserve">CPS.74111/001 </t>
  </si>
  <si>
    <t>PEITORIL DE GRANITO CINZA ANDORINHA, ESPESSURA 2CM, ASSENTADA COM ARGAMASSA COLANTE</t>
  </si>
  <si>
    <t xml:space="preserve">PINTURA </t>
  </si>
  <si>
    <t>DEMARCACAO COM TINTA ACRILICA PARA PISOS DE FAIXAS EM QUADRA POLIESPORTIVA</t>
  </si>
  <si>
    <t xml:space="preserve">73750/001 </t>
  </si>
  <si>
    <t>PINTURA LATEX PVA AMBIENTES INTERNOS, DUAS DEMAOS COR BRANCO NEVE (FORRO)</t>
  </si>
  <si>
    <t xml:space="preserve">73954/002 </t>
  </si>
  <si>
    <t>PINTURA LATEX ACRILICA AMBIENTES INTERNOS/EXTERNOS, DUAS DEMAOS NA COR BRANCO NEVE (PAREDE)</t>
  </si>
  <si>
    <t xml:space="preserve">73955/002 </t>
  </si>
  <si>
    <t>EMASSAMENTO COM MASSA LATEX PVA PARA AMBIENTES INTERNOS, DUAS DEMAOS</t>
  </si>
  <si>
    <t xml:space="preserve">74134/002 </t>
  </si>
  <si>
    <t>EMASSAMENTO COM MASSA ACRILICA PARA AMBIENTES INTERNOS/EXTERNOS, DUAS DEMAOS</t>
  </si>
  <si>
    <t xml:space="preserve">74145/001 </t>
  </si>
  <si>
    <t>PINTURA EM ESMALTE SINTETICO EM PECAS METALICAS UTILIZANDO REVOLVER/COMPRESSOR, DUAS DEMAOS, INCLUSO UMA DEMAO FUNDO OXIDO DE FERRO/ZARCAO (ALAMBRADO)</t>
  </si>
  <si>
    <t xml:space="preserve">74245/001 </t>
  </si>
  <si>
    <t>PINTURA COM TINTA ACRILICA PARA PISOS EM QUADRAS POLIESPORTIVAS</t>
  </si>
  <si>
    <t xml:space="preserve">AGS.261608 </t>
  </si>
  <si>
    <t>PINTURA À BASE DE BORRACHA CLORADA , COR CINZA MÉDIO , EM 02 (DUAS) DEMÃOS, SOBRE PISO EM CONCRETO RÚSTICO</t>
  </si>
  <si>
    <t>PINTURA COM TINTA TEXTURIZADA ACRILICA PARA AMBIENTES (FACHADA)</t>
  </si>
  <si>
    <t>PINTURA LATEX ACRILICA AMBIENTES INTERNOS/EXTERNOS, DUAS DEMAOS COR PRETO FOSCO (FORRO)</t>
  </si>
  <si>
    <t>PINTURA LATEX ACRILICA AMBIENTES INTERNOS/EXTERNOS, DUAS DEMAOS NA COR PRETO FOSCO (PAREDE)</t>
  </si>
  <si>
    <t xml:space="preserve">LIMPEZA FINAL DE OBRA </t>
  </si>
  <si>
    <t>LIMPEZA FINAL DA OBRA</t>
  </si>
  <si>
    <t xml:space="preserve">ADMINISTRAÇÃO </t>
  </si>
  <si>
    <t xml:space="preserve">ADM.001 </t>
  </si>
  <si>
    <t>ENGENHEIRO PLENO</t>
  </si>
  <si>
    <t xml:space="preserve">H </t>
  </si>
  <si>
    <t xml:space="preserve">ADM.002 </t>
  </si>
  <si>
    <t>ENGENHEIRO ELETRICISTA PLENO</t>
  </si>
  <si>
    <t>MESTRE DE OBRAS</t>
  </si>
  <si>
    <t>ADM.004</t>
  </si>
  <si>
    <t>VIGIA NOTURNO</t>
  </si>
  <si>
    <t>ADM.005</t>
  </si>
  <si>
    <t>EPI / PCMAT / PCMSO</t>
  </si>
  <si>
    <t>ADM.006</t>
  </si>
  <si>
    <t>REFEIÇÃO</t>
  </si>
  <si>
    <t>ADM.007</t>
  </si>
  <si>
    <t>TRANSPORTE IDA/VOLTA</t>
  </si>
  <si>
    <t>ADM.008</t>
  </si>
  <si>
    <t>AS BUILT</t>
  </si>
  <si>
    <t xml:space="preserve"> CAMINHAO CARROCERIA FIXA FORD F-12000 12T / 142CV  (TRANSPORTES DE MATERIAIS/MOBILIZAÇÃO E DESMOBILIZAÇÃO)</t>
  </si>
  <si>
    <t xml:space="preserve">CHP   </t>
  </si>
  <si>
    <t xml:space="preserve">TOTAL GERAL(SEM BDI): </t>
  </si>
  <si>
    <t>BDI (23,47%):</t>
  </si>
  <si>
    <t xml:space="preserve">TOTAL GERAL(COM BDI): </t>
  </si>
  <si>
    <t xml:space="preserve">73786/005A </t>
  </si>
  <si>
    <t>TUBO DE AÇO GALVANIZADO Ø50MM (2") - FORNECIMENTO E INSTALAÇÃO</t>
  </si>
  <si>
    <t xml:space="preserve">73935/001 </t>
  </si>
  <si>
    <t>ALVENARIA EM TIJOLO CERAMICO FURADO 10X20X20CM, 1/2 VEZ, ASSENTADO EM ARGAMASSA TRACO 1:4 (CIMENTO E AREIA)</t>
  </si>
  <si>
    <t xml:space="preserve">73965/015 </t>
  </si>
  <si>
    <t>ESCAVACAO MANUAL DE VALAS H &lt;= 1,50 M</t>
  </si>
  <si>
    <t>ESCAVACAO TUBULOES A CEU ABERTO</t>
  </si>
  <si>
    <t xml:space="preserve">CPS.70769 </t>
  </si>
  <si>
    <t>CANTONEIRA EM AÇO 1/4" ABAS IGUAIS 0,05M CADA PARA PROTEÇÃO DAS QUINAS</t>
  </si>
  <si>
    <t xml:space="preserve">CPS.73631 </t>
  </si>
  <si>
    <t>GUARDA-CORPO EM TUBO DE ACO GALVANIZADO 2"</t>
  </si>
  <si>
    <t>200499-AGT</t>
  </si>
  <si>
    <t xml:space="preserve">73954/001 </t>
  </si>
  <si>
    <t>PINTURA LATEX ACRILICA AMBIENTES INTERNOS/EXTERNOS, TRES DEMAOS NA COR BRANCO GELO</t>
  </si>
  <si>
    <t>AGUA FRIA</t>
  </si>
  <si>
    <t>TE DE PVC ROSQUEAVEL AGUA FRIA 25X1/2"" - FORNECIMENTO E INSTALACAO</t>
  </si>
  <si>
    <t>TE DE PVC SOLDAVEL AGUA FRIA 25MM - FORNECIMENTO E INSTALACAO</t>
  </si>
  <si>
    <t>TE DE PVC SOLDAVEL AGUA FRIA 32MM - FORNECIMENTO E INSTALACAO</t>
  </si>
  <si>
    <t>TE DE PVC SOLDAVEL AGUA FRIA 50MM - FORNECIMENTO E INSTALACAO</t>
  </si>
  <si>
    <t>JOELHO PVC SOLDAVEL 90º AGUA FRIA 25MM - FORNECIMENTO E INSTALACAO</t>
  </si>
  <si>
    <t>JOELHO PVC SOLDAVEL 45º AGUA FRIA 25MM - FORNECIMENTO E INSTALACAO</t>
  </si>
  <si>
    <t>JOELHO PVC SOLDAVEL 90º AGUA FRIA 32MM - FORNECIMENTO E INSTALACAO</t>
  </si>
  <si>
    <t>LUVA PVC SOLDAVEL AGUA FRIA 25MM - FORNECIMENTO E INSTALACAO</t>
  </si>
  <si>
    <t>REDUCAO DE PVC SOLDAVEL AGUA FRIA 50X25MM - FORNECIMENTO E INSTALACAO</t>
  </si>
  <si>
    <t>ADAPTADOR PVC SOLDAVEL COM FLANGES E ANEL PARA CAIXA D´AGUA 25MMX3/4"" - FORNECIMENTO E INSTALACAO</t>
  </si>
  <si>
    <t>ADAPTADOR PVC SOLDAVEL COM FLANGES E ANEL PARA CAIXA D´AGUA 32MMX1"" - FORNECIMENTO E INSTALACAO</t>
  </si>
  <si>
    <t>ADAPTADOR PVC SOLDAVEL COM FLANGES E ANEL PARA CAIXA D´AGUA 50MMX1.1/2"" - FORNECIMENTO E INSTALACAO</t>
  </si>
  <si>
    <t>TE PVC SOLDAVEL COM ROSCA METALICA AGUA FRIA 25MMX25MMX1/2"" - FORNECIMENTO E INSTALACAO</t>
  </si>
  <si>
    <t>JOELHO PVC SOLDAVEL COM ROSCA METALICA 90º AGUA FRIA 25MMX1/2"" - FORNECIMENTO E INSTALACAO</t>
  </si>
  <si>
    <t>JOELHO PVC SOLDAVEL COM ROSCA 90º AGUA FRIA 25MMX3/4"" - FORNECIMENTO E INSTALACAO</t>
  </si>
  <si>
    <t>LUVA PVC SOLDAVEL COM ROSCA AGUA FRIA 32MMX1"" - FORNECIMENTO E INSTALACAO</t>
  </si>
  <si>
    <t xml:space="preserve">73777/002 </t>
  </si>
  <si>
    <t>TUBO DE PVC BRANCO ROSQUEÁVEL 3/4"" - FORNECIMENTO E INSTALAÇÃO</t>
  </si>
  <si>
    <t xml:space="preserve">73779/002 </t>
  </si>
  <si>
    <t>TUBO DE PVC BRANCO, SEM CONEXÕES, PONTA, BOLSA E VIROLA 50MM - FORNECIMENTO E INSTALAÇÃO</t>
  </si>
  <si>
    <t xml:space="preserve">73949/001 </t>
  </si>
  <si>
    <t>TORNEIRA CROMADA 1/2"" OU 3/4"" PARA JARDIM OU TANQUE, PADRAO ALTO - FORNECIMENTO E INSTALACAO</t>
  </si>
  <si>
    <t xml:space="preserve">74058/002 </t>
  </si>
  <si>
    <t>TORNEIRA DE BOIA VAZAO TOTAL 3/4 COM BALAO PLASTICO - FORNECIMENTO E INSTALACAO</t>
  </si>
  <si>
    <t xml:space="preserve">74176/001 </t>
  </si>
  <si>
    <t>REGISTRO GAVETA 3/4"" COM CANOPLA ACABAMENTO CROMADO SIMPLES - FORNECIMENTO E INSTALACAO</t>
  </si>
  <si>
    <t xml:space="preserve">74182/001 </t>
  </si>
  <si>
    <t>REGISTRO GAVETA 1.1/2"" BRUTO LATAO - FORNECIMENTO E INSTALACAO</t>
  </si>
  <si>
    <t xml:space="preserve">74184/001 </t>
  </si>
  <si>
    <t>REGISTRO GAVETA 1"" BRUTO LATAO - FORNECIMENTO E INSTALACAO</t>
  </si>
  <si>
    <t xml:space="preserve">74185/001 </t>
  </si>
  <si>
    <t>REGISTRO GAVETA 3/4"" BRUTO LATAO - FORNECIMENTO E INSTALACAO</t>
  </si>
  <si>
    <t>TUBO DE PVC SOLDAVEL, SEM CONEXOES 25MM - FORNECIMENTO E INSTALACAO</t>
  </si>
  <si>
    <t>TUBO DE PVC SOLDAVEL, SEM CONEXOES 32MM - FORNECIMENTO E INSTALACAO</t>
  </si>
  <si>
    <t>TUBO DE PVC SOLDAVEL, SEM CONEXOES 50MM - FORNECIMENTO E INSTALACAO</t>
  </si>
  <si>
    <t xml:space="preserve">AGS.81066 </t>
  </si>
  <si>
    <t>ADAPTAD.SOLD.CURTO C/BOLSA E ROSCA P/REG.25X3/4""</t>
  </si>
  <si>
    <t xml:space="preserve">AGS.81069 </t>
  </si>
  <si>
    <t>ADAPTAD.SOLD.CURTO C/BOLSA/ROSCA P/REG.50X11/2""</t>
  </si>
  <si>
    <t xml:space="preserve">AGS.81537 </t>
  </si>
  <si>
    <t>CURVA 90 GRAUS SOLDAVEL DIAMETRO 25 mm</t>
  </si>
  <si>
    <t xml:space="preserve">AGS.81540 </t>
  </si>
  <si>
    <t>CURVA 90 GRAUS SOLDAVEL DIAMETRO 50 mm</t>
  </si>
  <si>
    <t>CAIXA DAGUA POLIURETANO 1000 LTS. C/TAMPA</t>
  </si>
  <si>
    <t xml:space="preserve">CPS.73647 </t>
  </si>
  <si>
    <t>COLAR DE TOMADA EM PVC COM TRAVAS 3/4"" - FORNECIMENTO E INSTALACAO</t>
  </si>
  <si>
    <t>REGISTRO DE ESFERA EM BRONZE D= 3/4"" FORNEC E COLOCACAO</t>
  </si>
  <si>
    <t xml:space="preserve">CPS.73870/001B </t>
  </si>
  <si>
    <t>REGISTRO DE ESFERA BORBOLETA D= 3/4"" FORNEC E COLOCACAO</t>
  </si>
  <si>
    <t>ESCAVACAO E REATERRO MANUAL (TUBULAÇÕES)</t>
  </si>
  <si>
    <t xml:space="preserve">CPS.74051A </t>
  </si>
  <si>
    <t>CAIXA PARA TORNEIRA JARDIM 60X60X65CM EM ALVENARIA REVESTIDA COM ARGAMASSA 1:2:8 COM TAMPA METÁLICA E FUNDO EM BRITA, INCLUSIVE ESCAVAÇÃO, APILOAMENTO CONFORME PROJETO HIDRO-SANITÁRIO</t>
  </si>
  <si>
    <t xml:space="preserve"> LUVA PVC SOLDAVEL COM ROSCA AGUA FRIA 25MMX3/4" - FORNECIMENTO E INSTALAÇAO</t>
  </si>
  <si>
    <t>REDUCAO DE PVC SOLDAVEL AGUA FRIA 50X32MM - FORNECIMENTO E INSTALACAO</t>
  </si>
  <si>
    <t xml:space="preserve"> JOELHO PVC SOLDAVEL 90º AGUA FRIA 32MM - FORNECIMENTO E INSTALACAO </t>
  </si>
  <si>
    <t xml:space="preserve">JOELHO PVC SOLDAVEL 90º AGUA FRIA 50MM - FORNECIMENTO E INSTALACAO </t>
  </si>
  <si>
    <t>PLUVIAL - PVC ESGOTO</t>
  </si>
  <si>
    <t>LOCAL: BAIRRO ALTO DA COLINA - PATOS DE MINAS/MG</t>
  </si>
  <si>
    <t>CUBA EM AÇO MAXI RETANGULAR DE EMBUTIR (REF. TRAMONTINA OU EQUIVALENTE) EM AÇO INOX, 50X40X240 MM (INCLUSIVE ENGATE E SIFÃO) - FORNECIMENTO E INSTALACAO</t>
  </si>
  <si>
    <t>CHUVEIRO ELETRICO COMUM CORPO PLASTICO TIPO DUCHA, FORNECIMENTO E INSTALACAO</t>
  </si>
  <si>
    <t xml:space="preserve">LUMINARIAS </t>
  </si>
  <si>
    <t xml:space="preserve">EIL01 </t>
  </si>
  <si>
    <t>- O ANEXO 01 TRATA-SE DA PLANILHA ORÇAMENTARIA DA INSTALAÇÃO DE AR CONDICIONADO</t>
  </si>
  <si>
    <t>LUMINÁRIA RETANGULAR PARA POSTE, TIPO PÉTALA, PARA 01 LÂMPADA DE VAPOR METÁLICO ELIPSOIDAL DE 150W. CORPO EM CHAPA DE AÇO TRATADA ZINCADA COM ACABAMENTO EM PINTURA ELETROSTÁTICA EPÓXI-PÓ NA COR PRETA. DIFUSOR EM VIDRO PLANO TEMPERADO TRANSPARENTE. SÉRIE CAUCÁRIO -P.</t>
  </si>
  <si>
    <t>PROJETOR DE SOBREPOR COM FOCO ORIENTÁVEL, PARA 1 LÂMPADA VAPOR METÁLICO BILATERAL 250W. CORPO EM ALUMÍNIO INJETADO, COM ALETAS DE RESFRIAMENTO. REFLETOR COM FOCO CONCENTRADO EM CHAPA DE AÇO METALIZADO. DIFUSOR EM VIDRO PLANO TEMPERADO TRANSPARENTE. POSSUI ALOJAMENTO PARA EQUIPAMENTO AUXILIAR.NECESSITA REATOR ELETROMAGNÉTICO. REF. APIAY-C 1XHIT-DE 250W.</t>
  </si>
  <si>
    <t xml:space="preserve">EIL06 </t>
  </si>
  <si>
    <t>LUMINÁRIA DE SOBREPOR PARA 2 LÂMPADAS FLUORESCENTES TUBULARES DE 32W. CORPO EM CHAPA DE AÇO TRATADA COM ACABAMENTO EM PINTURA ELETROSTÁTICA EPÓXI-PÓ NA COR BRANCA. REFLETOR EM ALUMÍNIO ANODIZADO DE ALTO BRILHO. ALOJAMENTO DO REATOR NA CABECEIRA. EQUIPADA COM PORTA-LÂMPADA TRAVA DE SEGURANÇA E PROTEÇÃO CONTRA AQUECIMENTO NOS CONTATOS. REF. 3540 2XT26 32W.ANTIVIBRATÓRIO EM POLICARBONATO, COM TRAVA DE SEGURANÇA E PROTEÇÃO CONTRA AQUECIMENTO NOS CONTATOS. REF. 3540 2XT26 32W.</t>
  </si>
  <si>
    <t>EIL04</t>
  </si>
  <si>
    <t>ARANDELAS DE PAREDE A 1.60M DO PISO, COM LÂMPADA HALÓGENA 60W E DIFUSOR OPACO</t>
  </si>
  <si>
    <t xml:space="preserve">ELÉTRICA </t>
  </si>
  <si>
    <t>ELETRODUTO DE PVC RIGIDO ROSCAVEL 50MM (2"), FORNECIMENTO E INSTALACAO</t>
  </si>
  <si>
    <t>INTERRUPTOR PARALELO, UMA TECLA, COM PLACA, LINHA PIAL LEGRAND OU EQUIVALENTE</t>
  </si>
  <si>
    <t>ELETRODUTO DE PVC RÍGIDO ROSCÁVEL 20 MM (3/4") FORNECIMENTO E INSTALACAO</t>
  </si>
  <si>
    <t>ELETRODUTO DE PVC RÍGIDO ROSCÁVEL 15 MM (1/2") FORNECIMENTO E INSTALACAO</t>
  </si>
  <si>
    <t>DISPOSITIVO SUPRESSOR DE SURTO, REF.CLAMPER VCL 275V 12,5/60KA SLIM OU EQUIVALENTE, TECNOLOGIA MOV, CLASSE I,II, MÁXIMA TENSÃO DE OPERAÇÃO 275V, ISOLAÇÃO 1,5KV, CORRENTE MÁXIMA DE DESCARGA 60KA(8/20), SUPORTABILIDADE À CORRENTE DE CURTO-CIRCUITO 5KA.</t>
  </si>
  <si>
    <t xml:space="preserve">74252/001 </t>
  </si>
  <si>
    <t>ELETRODUTO DE PVC RIGIDO ROSCAVEL 25MM (1"), FORNECIMENTO E INSTALACAO</t>
  </si>
  <si>
    <t>ELETRODUTO DE PVC RIGIDO ROSCAVEL 32MM (1 1/4"), FORNECIMENTO E INSTALACAO</t>
  </si>
  <si>
    <t xml:space="preserve">AGS.70647 </t>
  </si>
  <si>
    <t>CAIXA DE PASSAGEM METALICA 30X30X12 CM NO PISO</t>
  </si>
  <si>
    <t>CONDULETE, EM PVC RÍGIDO, CINZA, COM ENTRADA LISA, 3/4", TIPO LL, COM TAMPA CEGA, DA WETZEL OU EQUIVALENTE</t>
  </si>
  <si>
    <t>CONDULETE, EM PVC RÍGIDO, CINZA, COM ENTRADA LISA, 3/4", TIPO LR, COM TAMPA CEGA, DA WETZEL OU EQUIVALENTE</t>
  </si>
  <si>
    <t>CONDULETE, EM PVC RÍGIDO, CINZA, COM ENTRADA LISA, 3/4", TIPO T, COM TAMPA CEGA, DA WETZEL OU EQUIVALENTE</t>
  </si>
  <si>
    <t>ELETRODUTO DE PVC RIGIDO ROSCAVEL 40MM (1 1/2"), FORNECIMENTO E INSTALACAO</t>
  </si>
  <si>
    <t xml:space="preserve">AGS.71141A </t>
  </si>
  <si>
    <t>CURVA 90° PARA ELETRODUTO DE PVC RIGIDO, 3/4"</t>
  </si>
  <si>
    <t xml:space="preserve">AGS.71142 </t>
  </si>
  <si>
    <t>CURVA 90° PARA ELETRODUTO DE PVC RIGIDO, 1"</t>
  </si>
  <si>
    <t xml:space="preserve">AGS.71144 </t>
  </si>
  <si>
    <t>CURVA 90° PARA ELETRODUTO DE PVC RIGIDO, 1 1/2"</t>
  </si>
  <si>
    <t>CURVA 90° PARA ELETRODUTO DE PVC RIGIDO, 1/2"</t>
  </si>
  <si>
    <t>INTERRUPTOR 1 SEÇÃO SIMPLES, COM PLACA, REF.PIAL LEGRAND LINHA SILENTOQUE CÓD. 1100 OU EQUIVALENTE</t>
  </si>
  <si>
    <t>INTERRUPTOR 2 SEÇÕES SIMPLES, COM PLACA, REF. PIAL LEGRAND LINHA SILENTOQUE CÓD. 2100 OU EQUIVALENTE</t>
  </si>
  <si>
    <t>INTERRUPTOR 3 SEÇÕES SIMPLES, COM PLACA, REF. PIAL LEGRAND LINHA SILENTOQUE CÓD. 3100 OU EQUIVALENTE</t>
  </si>
  <si>
    <t xml:space="preserve">AGS.71741 </t>
  </si>
  <si>
    <t>LUVA PARA ELETRODUTO DE PVC RIGIDO, 3/4"</t>
  </si>
  <si>
    <t xml:space="preserve">AGS.71742 </t>
  </si>
  <si>
    <t>LUVA PARA ELETRODUTO DE PVC RIGIDO, 1"</t>
  </si>
  <si>
    <t xml:space="preserve">AGS.71744 </t>
  </si>
  <si>
    <t>LUVA PARA ELETRODUTO DE PVC RIGIDO, 1 1/2"</t>
  </si>
  <si>
    <t xml:space="preserve">AGS.71746 </t>
  </si>
  <si>
    <t>LUVA PARA ELETRODUTO DE PVC RIGIDO, 1/2"</t>
  </si>
  <si>
    <t>CAIXA METÁLICA ESMALTADA - 4"X4"X2"</t>
  </si>
  <si>
    <t>CAIXA METÁLICA ESMALTADA - 4"X2"X2"</t>
  </si>
  <si>
    <t xml:space="preserve">AGT.70589B </t>
  </si>
  <si>
    <t>74070/1+28210</t>
  </si>
  <si>
    <t>73809/1</t>
  </si>
  <si>
    <t>73912/2</t>
  </si>
  <si>
    <t>73829/001</t>
  </si>
  <si>
    <t>26309/2+26308/3</t>
  </si>
  <si>
    <t>73870/2</t>
  </si>
  <si>
    <t>74019/1+73964/4</t>
  </si>
  <si>
    <t>74130/4</t>
  </si>
  <si>
    <t>74130/5</t>
  </si>
  <si>
    <t>74130/1</t>
  </si>
  <si>
    <t>73861/020</t>
  </si>
  <si>
    <t>74288/1</t>
  </si>
  <si>
    <t>CABO EPR/XLPE 90 1 KV No. 25 MM2 (FASE)</t>
  </si>
  <si>
    <t xml:space="preserve">AGT.70589C </t>
  </si>
  <si>
    <t>CABO EPR/XLPE 90 1 KV No. 25 MM2 (NEUTRO)</t>
  </si>
  <si>
    <t>CABO EPR/XLPE 90 1 KV No. 16 MM2 (TERRA)</t>
  </si>
  <si>
    <t>ELETRODUTO PVC FLEXIVEL (MANGUEIRA) DIAM.3/4"</t>
  </si>
  <si>
    <t>DISJUNTOR DR TRIPOLAR 40A</t>
  </si>
  <si>
    <t xml:space="preserve">COT.127D </t>
  </si>
  <si>
    <t>DUTO AÉREO PERFURADO U SRS-200-B10 100mmx50mm</t>
  </si>
  <si>
    <t>COT.CULTURA02</t>
  </si>
  <si>
    <t>DUTO AÉREO 100MM X 100M ESPESSURA DE CHAPA DE 2MM, COMPRIMENTO 12M, (PARA INSTALAÇÃO DAS TOMADAS AÉREAS SOBRE O URDIMENTO E SOB TETO DA PLATEIA)</t>
  </si>
  <si>
    <t>OBRA: CONSTRUÇÃO DA PRAÇA DOS ESPORTES E DA CULTURA - 3000 M2</t>
  </si>
  <si>
    <t>CRONOGRAMA FÍSICO-FINANCEIRO</t>
  </si>
  <si>
    <t>75051/02</t>
  </si>
  <si>
    <t>75051/03</t>
  </si>
  <si>
    <t>75051/05</t>
  </si>
  <si>
    <t>BOX RETO 1/2" EM FERRO GALVANIZADO OU ALUMINIO PARA ADAPTAR ENTRADA DE ELETRODUTO METÁLICO FLEXIVEL EM CAIXA E QUADROS</t>
  </si>
  <si>
    <t>CONDULETE, EM ALUMINIO, COM ENTRADA LISA, 3/4", TIPO T, COM TAMPA CEGA, DA WETZEL OU SIMILAR</t>
  </si>
  <si>
    <t>CONDULETE, EM PVC RÍGIDO, CINZA, COM ENTRADA LISA, 3/4", TIPO X, COM TAMPA CEGA, DA WETZEL OU EQUIVALENTE</t>
  </si>
  <si>
    <t xml:space="preserve">AGS.71861 </t>
  </si>
  <si>
    <t>PARAFUSO E BUCHA S-6</t>
  </si>
  <si>
    <t xml:space="preserve">AGS.71862 </t>
  </si>
  <si>
    <t>PARAFUSO E BUCHA S-8</t>
  </si>
  <si>
    <t xml:space="preserve">AGS.71982 </t>
  </si>
  <si>
    <t>PORCA SEXTAVADA 3/8"</t>
  </si>
  <si>
    <t xml:space="preserve">AGT.70251 </t>
  </si>
  <si>
    <t xml:space="preserve">ARRUELA LISA 3/8" </t>
  </si>
  <si>
    <t xml:space="preserve">AGT.72660 </t>
  </si>
  <si>
    <t>VERGALHAO ROSCA TOTAL D=1/4"</t>
  </si>
  <si>
    <t xml:space="preserve">COT.71277 </t>
  </si>
  <si>
    <t>EMENDA DE VERGALHÃO ROSCADA 1/4"</t>
  </si>
  <si>
    <t xml:space="preserve">COT.72334C </t>
  </si>
  <si>
    <t xml:space="preserve">DETECTOR ÓTICO DE FUMAÇA ENDEREÇÁVEL C/ PLACA DE FIXAÇÃO FORRO, REF. Cód.: 122305 ENGESUL OU EQUIVALENTE </t>
  </si>
  <si>
    <t xml:space="preserve">COT.72334D </t>
  </si>
  <si>
    <t>DETECTOR DE VAZAMENTO DE GÁS TIPO BLINDADO REF.: COD.: 122.015 ENGESUL OU EQUIVALENTE H=200MM DO PISO</t>
  </si>
  <si>
    <t xml:space="preserve">COT.72340 </t>
  </si>
  <si>
    <t xml:space="preserve">AVISADOR SONORO ENDEREÇÁVEL, INSTALADO NA PAREDE, REF. : Cód: 103.041 ENGESUL OU EQUIVALENTE </t>
  </si>
  <si>
    <t xml:space="preserve">COT.73855/001 </t>
  </si>
  <si>
    <t>CHUMBADOR CBC PARAFUSO 1/4" - CISER - FORNECIMENTO E INSTALACAO</t>
  </si>
  <si>
    <t xml:space="preserve">COT.73855/002 </t>
  </si>
  <si>
    <t>CHUMBADOR CBC PARAFUSO 3/8" X 2 1/2" REF. 98212 CISER OU EQUIVALENTE - FORNECIMENTO E INSTALACAO</t>
  </si>
  <si>
    <t xml:space="preserve">COT.73860 </t>
  </si>
  <si>
    <t xml:space="preserve">CABO PP 4 VIAS BLINDADO PVC 70°C 2X1,5MM2 - CONFORME NBR 6880 e 13249 </t>
  </si>
  <si>
    <t xml:space="preserve">COT.74043 </t>
  </si>
  <si>
    <t>SUPORTE PARA ELETRODUTO TIPO ECONÔMICO DIAM. 3/4". REF. ML-1455, MEGALIDER OU EQUIVALENTE</t>
  </si>
  <si>
    <t xml:space="preserve">COT.74043/007 </t>
  </si>
  <si>
    <t>JUNÇÃO ANGULAR DUPLA ALTA GALVANIZADA</t>
  </si>
  <si>
    <t xml:space="preserve">COT.74044 </t>
  </si>
  <si>
    <t>SUSPENSÃO P/ TIRANTE REF. MEGA APOIO MG 2535 OU EQUIVALENTE</t>
  </si>
  <si>
    <t xml:space="preserve">COT.74045 </t>
  </si>
  <si>
    <t>TIRANTE (1/4") ROSQUEADO 3000MM, REF. MEGA APOIO MG2513-2 OU EQUIVALENTE</t>
  </si>
  <si>
    <t xml:space="preserve">COT.80661 </t>
  </si>
  <si>
    <t>CENTRAL DE ALARME DE INCÊNDIO ENDEREÇÁVEL C/ LCD 02 LAÇOS 4-TOQUES</t>
  </si>
  <si>
    <t xml:space="preserve">CPS.74043/005 </t>
  </si>
  <si>
    <t>BRAÇADEIRA GALVANIZADA TIPO D 3/4" COM PARAFUSO E BUCHA S-8</t>
  </si>
  <si>
    <t>ELETRICA – PE-REDE-PEC</t>
  </si>
  <si>
    <t xml:space="preserve">73768/006 </t>
  </si>
  <si>
    <t>CABO TELEFONICO CI-50 50PARES (USO INTERNO) - FORNECIMENTO E INSTALACAO</t>
  </si>
  <si>
    <t xml:space="preserve">AGT.71277 </t>
  </si>
  <si>
    <t>EMENDA INTERNA P/ELETROCALHA (50 X 50 mm)</t>
  </si>
  <si>
    <t xml:space="preserve">COT.130D </t>
  </si>
  <si>
    <t>DATA DO ORÇAMENTO: 25/01/2012</t>
  </si>
  <si>
    <t>ORÇAMENTO SINTÉTICO EQUIPAMENTOS (AR CONDICIONADO)</t>
  </si>
  <si>
    <t>REFERENCIA : INSTALAÇÕES DE AR CONDICIONADO</t>
  </si>
  <si>
    <t>CONTRATO:363.358-88</t>
  </si>
  <si>
    <t>ART Nº: 275096</t>
  </si>
  <si>
    <t>REFERENCIA DE PREÇOS: PREÇOS DE MERCADO - PLANILHA DE REFERENCIA</t>
  </si>
  <si>
    <t>DATA BASE: SETEMBRO/11</t>
  </si>
  <si>
    <t>DATA DO ORÇAMENTO:</t>
  </si>
  <si>
    <t>CLASS</t>
  </si>
  <si>
    <t>PREÇO(R$)UNITÀRIO</t>
  </si>
  <si>
    <t>BDI  (24,62%)</t>
  </si>
  <si>
    <t>BDI (10,93%)</t>
  </si>
  <si>
    <t>PREÇO TOTAL (R$)/BDI INCLUSO</t>
  </si>
  <si>
    <t>EQUIPAMENTOS - AR CONDICIONADO</t>
  </si>
  <si>
    <t>SPLIT HI-WALLCAP.: 9000 BTU/h, MOD.: 42LUCA009515LC + CONDENSADORA MOD.: 38KCA009515MC, REF.: SPRINGER CARRIER(CARENAGEM NA COR PRETA)</t>
  </si>
  <si>
    <t xml:space="preserve">SER.CG </t>
  </si>
  <si>
    <t>-</t>
  </si>
  <si>
    <t>SPLIT PISO-TETO CAP.: 18000 BTU/h, MOD.: 42XQC018515LC + CONDENSADORA MOD.: 38XCD018515MC, REF.: SPRINGER CARRIER(CARENAGEM NA COR PRETA)</t>
  </si>
  <si>
    <t>REDE FRIGORIGENA</t>
  </si>
  <si>
    <t>TUBO COBRE FLEXIVEL  Ø 1/4"</t>
  </si>
  <si>
    <t>KG</t>
  </si>
  <si>
    <t>TUBO COBRE FLEXIVEL  Ø 3/8"</t>
  </si>
  <si>
    <t>TUBO COBRE FLEXIVEL  Ø 5/8"</t>
  </si>
  <si>
    <t>TUBO DE ESPUMA ELASTOMÉRICA Ø 1/4" x 13 mm</t>
  </si>
  <si>
    <t>MT</t>
  </si>
  <si>
    <t>TUBO DE ESPUMA ELASTOMÉRICA Ø 3/8" x 13 mm</t>
  </si>
  <si>
    <t>TUBO DE ESPUMA ELASTOMÉRICA Ø 5/8" x 19 mm</t>
  </si>
  <si>
    <t>FITA ISOLA. TERMICO 100x30MM(10G/MT)</t>
  </si>
  <si>
    <t>FITA ADESIVA PVC 50MM x 50MT</t>
  </si>
  <si>
    <t>ABRACADEIRA GALVANIZADA TIPO  "D" 1 1/4"</t>
  </si>
  <si>
    <t>BUCHA DE NYLON   S-8</t>
  </si>
  <si>
    <t>PARAFUSO ZINC. SEXTAVADO 1/4" x 1"</t>
  </si>
  <si>
    <t>GAS NITROGENIO INDUSTRIAL</t>
  </si>
  <si>
    <t>M3</t>
  </si>
  <si>
    <t>GAS REFRIGERANTE R-22</t>
  </si>
  <si>
    <t>COLA PARA ESPUMA ELASTOMÉRICA</t>
  </si>
  <si>
    <t>LT</t>
  </si>
  <si>
    <t>OUTRAS DESPESAS</t>
  </si>
  <si>
    <t>CALÇO BORRACHA NEOPRENE DE 1" - 10 x 10 cm</t>
  </si>
  <si>
    <t>SUPORTE PARA FIXAÇÃO DE EVAPORADORA SPLIT</t>
  </si>
  <si>
    <t>PLATAFORMA METÁLICA P/ INSTALAÇÃO DAS CONDENSADORAS</t>
  </si>
  <si>
    <t>LIMPEZA E VERIFICAÇÃO FINAL</t>
  </si>
  <si>
    <t>DOCUMENTOS, MANUAIS DE OPERAÇÃO E PROJETO AS-BUILT</t>
  </si>
  <si>
    <t>LIMPEZA GERAL E VERIFICAÇÃO DO EQUIPAMENTO</t>
  </si>
  <si>
    <t>TOTAL GERAL:</t>
  </si>
  <si>
    <t>- A DESCRIÇÃO, AS QUANTIDADES E OS PREÇOS  FORAM FORNECIDAS PELO PROGRAMA DOS ESPORTES E CULTURA.</t>
  </si>
  <si>
    <t>VARIAVEL</t>
  </si>
  <si>
    <t>ART Nº 275096</t>
  </si>
  <si>
    <t>DATA: 25/01/2012</t>
  </si>
  <si>
    <t>DUTO AÉREO PERFURADO U SRS-200-B05 50mmx50mm</t>
  </si>
  <si>
    <t xml:space="preserve">COT.1578A </t>
  </si>
  <si>
    <t xml:space="preserve">PARAFUSO SEXTAVADO EM AÇO INOX ROSCA SOBERBA M5X12MM </t>
  </si>
  <si>
    <t xml:space="preserve">COT.70626 </t>
  </si>
  <si>
    <t>CABO UTP-8 VIAS, CAT.6E</t>
  </si>
  <si>
    <t xml:space="preserve">COT.71796 </t>
  </si>
  <si>
    <t>GUIA PARA CABOS, INSTALAÇÃO EM RACK DE REDE</t>
  </si>
  <si>
    <t xml:space="preserve">COT.71886 </t>
  </si>
  <si>
    <t>PATCH CORD UTP-8 P, CAT 6E, FLEXIVEL 1.5 M</t>
  </si>
  <si>
    <t xml:space="preserve">COT.71887 </t>
  </si>
  <si>
    <t>PATCH CORD UTP-8 P, CAT 6E, FLEXIVEL 2.5 M</t>
  </si>
  <si>
    <t xml:space="preserve">COT.72556A </t>
  </si>
  <si>
    <t>TOMADA RJ45 NA PAREDE (2P) EMBUTIR</t>
  </si>
  <si>
    <t xml:space="preserve">COT.72556B </t>
  </si>
  <si>
    <t>TOMADA RJ45 NO PISO (2P) EMBUTIR</t>
  </si>
  <si>
    <t xml:space="preserve">COT.73688A </t>
  </si>
  <si>
    <t>RACK REDE DE PISO, GABINETE FECHADO, PADRÃO 19", 16 USX570MM GARRA</t>
  </si>
  <si>
    <t xml:space="preserve">COT.73688B </t>
  </si>
  <si>
    <t>SWITCH 24 PORTAS 1375014-1</t>
  </si>
  <si>
    <t xml:space="preserve">COT.73688C </t>
  </si>
  <si>
    <t>VOICE PANEL 50 PORTAS</t>
  </si>
  <si>
    <t xml:space="preserve">GUIA DE BALIZAMENTO PARA RAMPA, EM CONCRETO 1:2,5:6 </t>
  </si>
  <si>
    <t xml:space="preserve">COT.73688D </t>
  </si>
  <si>
    <t>RÉGUA COM 6 TOMADAS PARA RACK DE REDE</t>
  </si>
  <si>
    <t xml:space="preserve">COT.73688G </t>
  </si>
  <si>
    <t>PATCH PANEL 24 PORTAS PARA COMUNICAÇÃO EM REDE, REF. D-LINK OU EQUIVALENTE</t>
  </si>
  <si>
    <t xml:space="preserve">COT.73688K </t>
  </si>
  <si>
    <t>ESTABILIZADOR 0,50 Kv</t>
  </si>
  <si>
    <t xml:space="preserve">COT.73688L </t>
  </si>
  <si>
    <t>BANDEJA FIXA 500MM VENTILAÇÃO GARRA</t>
  </si>
  <si>
    <t xml:space="preserve">COT.73689 </t>
  </si>
  <si>
    <t>MODEM/ROTEADOR ADSL2 GKM 1210Q OU EQUIVALENTE</t>
  </si>
  <si>
    <t xml:space="preserve">COT.73690 </t>
  </si>
  <si>
    <t>CONECTOR (PLUG) RJ45</t>
  </si>
  <si>
    <t xml:space="preserve">CPS.72337 </t>
  </si>
  <si>
    <t>TOMADA PARA TELEFONE INTERNO DE 4 POLOS PADRAO TELEBRÁS - FORNECIMENTO E INSTALACAO</t>
  </si>
  <si>
    <t xml:space="preserve">COMUNICAÇÃO VISUAL </t>
  </si>
  <si>
    <t xml:space="preserve">CMV 3000.01 </t>
  </si>
  <si>
    <t>BLOCO 1 - TEATRO - TIPO C DIM.70 X 13,2 CM</t>
  </si>
  <si>
    <t xml:space="preserve">PÇ </t>
  </si>
  <si>
    <t xml:space="preserve">CMV 3000.02 </t>
  </si>
  <si>
    <t>BLOCO 1 - DEPÓSITO - TIPO B DIM.45 X 8,5 CM</t>
  </si>
  <si>
    <t xml:space="preserve">CMV 3000.03 </t>
  </si>
  <si>
    <t>BLOCO 1 - CABINE DE PROJEÇÃO - TIPO B DIM.45 X 8,5 CM</t>
  </si>
  <si>
    <t xml:space="preserve">CMV 3000.04 </t>
  </si>
  <si>
    <t>BLOCO 1 - ADM ALMOXARIFADO - TIPO B DIM.45 X 8,5 CM</t>
  </si>
  <si>
    <t xml:space="preserve">CMV 3000.05 </t>
  </si>
  <si>
    <t>BLOCO 1 - TELECENTRO - TIPO B DIM.45 X 8,5 CM</t>
  </si>
  <si>
    <t xml:space="preserve">CMV 3000.06 </t>
  </si>
  <si>
    <t>BLOCO 1 - SANIT. MASCULINO - TIPO B DIM.45 X 8,5 CM</t>
  </si>
  <si>
    <t xml:space="preserve">CMV 3000.07 </t>
  </si>
  <si>
    <t>BLOCO 1 - SANIT. FEMININO - TIPO B DIM.45 X 8,5 CM</t>
  </si>
  <si>
    <t xml:space="preserve">CMV 3000.08 </t>
  </si>
  <si>
    <t>BLOCO 1 - SANITÁRIO P.N.E. - TIPO B DIM.45 X 8,5 CM</t>
  </si>
  <si>
    <t xml:space="preserve">CMV 3000.09 </t>
  </si>
  <si>
    <t>BLOCO 1 - BIBLIOTECA - TIPO B DIM.45 X 8,5 CM</t>
  </si>
  <si>
    <t xml:space="preserve">CMV 3000.10 </t>
  </si>
  <si>
    <t>BLOCO 1 - SANIT. MASCULINO - TIPO A DIM.20 X 13,2 CM</t>
  </si>
  <si>
    <t xml:space="preserve">CMV 3000.11 </t>
  </si>
  <si>
    <t>BLOCO 1 - SANIT. FEMININO - TIPO A DIM.20 X 13,2 CM</t>
  </si>
  <si>
    <t xml:space="preserve">CMV 3000.12 </t>
  </si>
  <si>
    <t>BLOCO 2 - SALA MULTIUSO 1 - TIPO B DIM.45 X 8,5 CM</t>
  </si>
  <si>
    <t xml:space="preserve">CMV 3000.13 </t>
  </si>
  <si>
    <t>BLOCO 2 - COPA - TIPO B DIM.45 X 8,5 CM</t>
  </si>
  <si>
    <t xml:space="preserve">CMV 3000.14 </t>
  </si>
  <si>
    <t>BLOCO 2 - SANITÁRIO P.N.E. - TIPO B DIM.45 X 8,5 CM</t>
  </si>
  <si>
    <t xml:space="preserve">CMV 3000.15 </t>
  </si>
  <si>
    <t>BLOCO 2 - CRAS COOREDENAÇÃO - TIPO B DIM.45 X 8,5 CM</t>
  </si>
  <si>
    <t xml:space="preserve">CMV 3000.16 </t>
  </si>
  <si>
    <t>BLOCO 2 - CRAS ATENDIMENTO - TIPO B DIM.45 X 8,5 CM</t>
  </si>
  <si>
    <t xml:space="preserve">CMV 3000.17 </t>
  </si>
  <si>
    <t>BLOCO 2 - SALA MULTIUSO 2 - TIPO B DIM.45 X 8,5 CM</t>
  </si>
  <si>
    <t xml:space="preserve">CMV 3000.18 </t>
  </si>
  <si>
    <t>BLOCO 2 - COPA - TIPO A DIM.20 X 13,2 CM</t>
  </si>
  <si>
    <t xml:space="preserve">CMV 3000.19 </t>
  </si>
  <si>
    <t xml:space="preserve">CMV 3000.20 </t>
  </si>
  <si>
    <t>PRAÇA 3000 - QUADRA COBERTA - TIPO E DIM.70 X 13,2 CM</t>
  </si>
  <si>
    <t xml:space="preserve">CMV 3000.21 </t>
  </si>
  <si>
    <t>PRAÇA 3000 - BICICLETÁRIO 1 - TIPO E DIM.70 X 13,2 CM</t>
  </si>
  <si>
    <t xml:space="preserve">CMV 3000.22 </t>
  </si>
  <si>
    <t>PRAÇA 3000 - BICICLETÁRIO 2 - TIPO E DIM.70 X 13,2 CM</t>
  </si>
  <si>
    <t xml:space="preserve">CMV 3000.23 </t>
  </si>
  <si>
    <t>ITEM</t>
  </si>
  <si>
    <t>CÓDIGO</t>
  </si>
  <si>
    <t>DESCRIÇÃO</t>
  </si>
  <si>
    <t>UNIDADE</t>
  </si>
  <si>
    <t>QUANT.</t>
  </si>
  <si>
    <t>PREÇO(R$)</t>
  </si>
  <si>
    <t>PREÇO TOTAL (R$)/EXCLUSO BDI</t>
  </si>
  <si>
    <t>SERVIÇOS INICIAIS</t>
  </si>
  <si>
    <t xml:space="preserve">73960/001 </t>
  </si>
  <si>
    <t>INSTAL/LIGACAO PROVISORIA ELETRICA BAIXA TENSAO P/CANT OBRA OBRA,M3-CHAVE 100A CARGA 3KWH,20CV EXCL FORN MEDIDOR</t>
  </si>
  <si>
    <t xml:space="preserve">UN </t>
  </si>
  <si>
    <t xml:space="preserve">73992/001 </t>
  </si>
  <si>
    <t>LOCACAO CONVENCIONAL DE OBRA, ATRAVÉS DE GABARITO DE TABUAS CORRIDAS PONTALETADAS A CADA 1,50M</t>
  </si>
  <si>
    <t xml:space="preserve">M2 </t>
  </si>
  <si>
    <t xml:space="preserve">74220/001 </t>
  </si>
  <si>
    <t>TAPUME DE CHAPA DE MADEIRA COMPENSADA (6MM) - PINTURA A CAL H=2,20M</t>
  </si>
  <si>
    <t>LIGACAO PROVISORIA AGUA C/SANITARIO</t>
  </si>
  <si>
    <t>UN</t>
  </si>
  <si>
    <t>LOCAÇÃO DE PRAÇA</t>
  </si>
  <si>
    <t>74209/001</t>
  </si>
  <si>
    <t>PLACA DE OBRA EM CHAPA DE AÇO GALVANIZADO</t>
  </si>
  <si>
    <t>M2</t>
  </si>
  <si>
    <t>INSTALAÇÕES DO CANTEIRO / SERVIÇOS GERAIS</t>
  </si>
  <si>
    <t>CARGA MANUAL E REMOCAO E ENTULHO COM TRANSPORTE ATE 1KM</t>
  </si>
  <si>
    <t xml:space="preserve">M3 </t>
  </si>
  <si>
    <t xml:space="preserve">74242/001 </t>
  </si>
  <si>
    <t>BARRACAO DE OBRA EM TABUAS DE MADEIRA COM BANHEIRO, COBERTURA EM FIBROCIMENTO 4 MM, INCLUSO INSTALACOES HIDRO-SANITARIAS E ELETRICAS</t>
  </si>
  <si>
    <t xml:space="preserve">MOVIMENTO TERRA </t>
  </si>
  <si>
    <t>ATERRO INTERNO (EDIFICACOES) COMPACTADO MANUALMENTE</t>
  </si>
  <si>
    <t>TRANSPORTE DE MATERIAL DE QUALQUER NATUREZA DMT &gt; 10 KM</t>
  </si>
  <si>
    <t xml:space="preserve">T/KM </t>
  </si>
  <si>
    <t xml:space="preserve">74005/001 </t>
  </si>
  <si>
    <t>COMPACTACAO MECANICA, SEM CONTROLE DO GC (C/COMPACTADOR PLACA 400 KG)</t>
  </si>
  <si>
    <t xml:space="preserve">SI_3062 </t>
  </si>
  <si>
    <t>ESCAVACAO DE VALA NAO ESCORADA EM MATERIAL DE 1A CATEGORIA COM PROFUNDIDADE DE 1,5 ATE 3M COM RETROESCAVADEIRA 75HP, SEM ESGOTAMENTO.</t>
  </si>
  <si>
    <t>FORMA DE MADEIRA COMUM PARA FUNDACOES</t>
  </si>
  <si>
    <t>CORTE E REPARO EM CABECA DE ESTACA</t>
  </si>
  <si>
    <t xml:space="preserve">73942/002 </t>
  </si>
  <si>
    <t>ARMACAO (FORN., CORTE, DOBRA E COLOC.) ACO CA-60 DIAM. 3,4 A 6,0MM.</t>
  </si>
  <si>
    <t xml:space="preserve">KG </t>
  </si>
  <si>
    <t xml:space="preserve">73964/001 </t>
  </si>
  <si>
    <t>REATERRO DE VALA/CAVA COMPACTADA A MACO EM CAMADAS DE 20CM</t>
  </si>
  <si>
    <t xml:space="preserve">73965/010 </t>
  </si>
  <si>
    <t>ESCAVACAO MANUAL DE VALA EM MATERIAL DE 1A CATEGORIA ATE 1,5M EXCLUINDO ESGOTAMENTO / ESCORAMENTO</t>
  </si>
  <si>
    <t xml:space="preserve">73972/001 </t>
  </si>
  <si>
    <t>CONCRETO ESTRUTURAL FCK=25MPA, VIRADO EM BETONEIRA, NA OBRA, SEM LANÇAMENTO</t>
  </si>
  <si>
    <t xml:space="preserve">74016/001 </t>
  </si>
  <si>
    <t>REGULARIZACAO E COMPACTACAO DE TERRENO, COM SOQUETE</t>
  </si>
  <si>
    <t xml:space="preserve">74115/001. </t>
  </si>
  <si>
    <t>CONCRETO PARA LASTRO</t>
  </si>
  <si>
    <t xml:space="preserve">74156/002 </t>
  </si>
  <si>
    <t>ESTACA A TRADO(BROCA) D=25CM C/CONCRETO FCK=15MPA SEM ACO MOLDADA IN-LOCO</t>
  </si>
  <si>
    <t xml:space="preserve">M </t>
  </si>
  <si>
    <t xml:space="preserve">74157/001 </t>
  </si>
  <si>
    <t>LANÇAMENTO E ADENSAMENTO DE CONCRETO EM FUNDAÇÕES.</t>
  </si>
  <si>
    <t xml:space="preserve">74207/001 </t>
  </si>
  <si>
    <t>TRANSPORTE DE MATERIAL - BOTA-FORA, D.M.T = 10,0 KM</t>
  </si>
  <si>
    <t xml:space="preserve">74254/002 </t>
  </si>
  <si>
    <t>ARMACAO (FORNECIMENTO, CORTE, DOBRA E COLOCAÇÃO) ACO CA-50, DIAM. 6,3 (1/4 ) À 12,5MM(1/2 )</t>
  </si>
  <si>
    <t>SUPER-ESTRUTURA</t>
  </si>
  <si>
    <t>JUNTA DE DILATACAO COM ISOPOR 10 MM</t>
  </si>
  <si>
    <t xml:space="preserve">74075/002 </t>
  </si>
  <si>
    <t>FORMA MADEIRA COMP RESINADA 12MM P/ESTRUTURA REAPROV 3 VEZES - CORTE/ MONTAGEM/ESCORAMENTO/DESFORMA</t>
  </si>
  <si>
    <t xml:space="preserve">74157/002 </t>
  </si>
  <si>
    <t>LANCAMENTO MANUAL DE CONCRETO EM ESTRUTURAS, INCL. VIBRACAO</t>
  </si>
  <si>
    <t xml:space="preserve">74254/001 </t>
  </si>
  <si>
    <t>ARMACAO (FORNECIMENTO, CORTE, DOBRA E COLOCAÇÃO) ACO CA-50 DIAM. 16,0 (5/8 ) À 25,0MM (1 )</t>
  </si>
  <si>
    <t xml:space="preserve">CPS.73970/001A </t>
  </si>
  <si>
    <t>ESTRUTURA METALICA EM ACO ASTM A570 GR36</t>
  </si>
  <si>
    <t xml:space="preserve"> FORNECIMENTO E COLOCACAO DE TELA SOLDADA Q196 (3,11 KG/M²)</t>
  </si>
  <si>
    <t>ENCHIMENTO DE LAJE COM EPS - ISOPOR</t>
  </si>
  <si>
    <t>PAREDES E PAINEIS</t>
  </si>
  <si>
    <t>73935/001</t>
  </si>
  <si>
    <t>ALVENARIA EM TIJOLO CERAMICO FURADO 10X20X20CM, 1/2 VEZ, ASSENTADO EM ARGAMASSA TRACO 1:4 (CIMENTO E AREIA),E=1 CM</t>
  </si>
  <si>
    <t xml:space="preserve">73988/002 </t>
  </si>
  <si>
    <t>ENCUNHAMENTO (APERTO) DE ALVENARIA 1/2 VEZ COM ARGAMASSA TRACO 1:0,5:8 (CIMENTO, CAL E AREIA), ESPESSURA 3CM</t>
  </si>
  <si>
    <t xml:space="preserve">74200/001 </t>
  </si>
  <si>
    <t>VERGA 10X10CM EM CONCRETO PRÉ-MOLDADO FCK=20MPA (PREPARO COM BETONEIRA) AÇO CA60, BITOLA FINA, INCLUSIVE FORMAS TABUA 3A.</t>
  </si>
  <si>
    <t>DIVISORIA EM GRANITO E=2CM POLIDO DUAS FACES INCLUSIVE ASSENTAMENTO( CINZA ANDORINHA )</t>
  </si>
  <si>
    <t>FECHAM.LATERAL TELHA PINT.ELETROSTATICA #0,65 mm C/ ACESSÓRIOS</t>
  </si>
  <si>
    <t>PAREDE (DRY WALL) DE GESSO ACARTONADO SIMPLES INTERNA, ESPESSURA FINAL 100 mm, PÉ-DIREITO MÁXIMO 3,15 m</t>
  </si>
  <si>
    <t>ALVENARIA ESTRUTURAL (10x20x40) ARMADA</t>
  </si>
  <si>
    <t>ESQUADRIAS DE MADEIRA</t>
  </si>
  <si>
    <t xml:space="preserve">COT.270807 </t>
  </si>
  <si>
    <t>PLACA DE ACO INOXIDAVEL NR.20 ESP. 1MM PROTEÇÃO PORTA (90 X 40 CM)</t>
  </si>
  <si>
    <r>
      <t>PM1 - 0,9 X 2,1 M MELANIMÍCO COR CINZA 1 ABRIR -</t>
    </r>
    <r>
      <rPr>
        <sz val="10"/>
        <rFont val="Arial"/>
        <family val="2"/>
      </rPr>
      <t>CAMARIN , SANITÁRIO MASC. E FEMININO, ADM. ALMOXARIFADO, COPA, SALA MULTIUSO, CRAS RECEPÇÃO, ATENDIMENTO, COORDENAÇÃO  E MULTIUSO.</t>
    </r>
  </si>
  <si>
    <t>PM2 - 0,9 X 2,1 M MELANIMÍCO COR CINZA 1 ABRIR - SANITÁRIO PNE</t>
  </si>
  <si>
    <t>PD1 - 0,6 X 1,6 M MELANIMÍCO COR CINZA 1 ABRIR - SANITÁRIO MASCULINO E FEMININO</t>
  </si>
  <si>
    <t>COT-73906</t>
  </si>
  <si>
    <t>PC1-2,2X2,1PORTA DE MADEIRA  DE CORRER -DEPOSITO CINETEATRO</t>
  </si>
  <si>
    <t>PM4 - 0,7 X 2,1 M MELANIMÍCO COR CINZA 1 ABRIR - SANITÁRIO PNE</t>
  </si>
  <si>
    <t>FERRAGENS</t>
  </si>
  <si>
    <t xml:space="preserve">FECHADURAS COM CILINDRO PARA PORTAS EXTERNAS, PARA USO EM AMBIENTES DE TRÁFEGO INTENSO, CONFORME NORMA ABNT NBR 14913 </t>
  </si>
  <si>
    <t>PUXADOR DE AÇO INOX ESCOVADO PARA PORTA DIAM. 35MM 0,50M</t>
  </si>
  <si>
    <t>BARRA ANTI-PANICO NT1 MAÇANETA E CILINDRO</t>
  </si>
  <si>
    <t>ESQUADRIAS DE ALUMINIO</t>
  </si>
  <si>
    <t>JA1 - 7,54 X 2,2 M ALUMÍNIO ANODIZADO COR NATURAL MAXIM AR - BIBLIOTECA, SALA MULTIUSO</t>
  </si>
  <si>
    <t xml:space="preserve">JA2 - 6,56 X 2,2 M ALUMÍNIO ANODIZADO COR NATURAL CORRER - BIBLIOTECA </t>
  </si>
  <si>
    <t xml:space="preserve">JA3 - 6,91 X 2,2 M ALUMÍNIO ANODIZADO COR NATURAL CORRER - TELECENTRO </t>
  </si>
  <si>
    <t xml:space="preserve">JA4 - 7,85 X 2,2 M ALUMÍNIO ANODIZADO COR NATURAL CORRER - TELECENTRO </t>
  </si>
  <si>
    <t>JA5 - 7,85 X 2,2 M ALUMÍNIO ANODIZADO COR NATURAL CORRER - CABINE DE PROJEÇÃO</t>
  </si>
  <si>
    <t>30.22.000</t>
  </si>
  <si>
    <t>COMP. CUSTO</t>
  </si>
  <si>
    <t>M</t>
  </si>
  <si>
    <t>- A DESCRIÇÃO E AS QUANTIDADES  FORAM FORNECIDAS PELO PROGRAMA DOS ESPORTES E CULTURA, SENDO INCLUIDOS APENAS OS SERVIÇOS DE TERRAPLENAGEM DO TERRENO, CONFORME PROJETO DE IMPLANTAÇÃO/LOCAÇÃO DA PRAÇA E O CORRIMÃO PARA A RAMPA (ITEM 30.22.000)</t>
  </si>
  <si>
    <t>BDI</t>
  </si>
  <si>
    <t xml:space="preserve">JA6 - 3,85 X 2,2 M ALUMÍNIO ANODIZADO COR NATURAL MAXIM AR - CRAS RECEPÇÃO, CRAS COORDENAÇÃO </t>
  </si>
  <si>
    <t xml:space="preserve">JA7 - 1,77 X 2,2 M ALUMÍNIO ANODIZADO COR NATURAL MAXIM AR - CRAS ATENDIMENTO, CRAS COORDENAÇÃO </t>
  </si>
  <si>
    <t xml:space="preserve">JA8 - 1,2 X 0,6 M ALUMÍNIO ANODIZADO COR NATURAL MAXIMAR - CABINE DE PROJEÇÃO </t>
  </si>
  <si>
    <t xml:space="preserve">CPS.74071/002A </t>
  </si>
  <si>
    <t xml:space="preserve">PORTA  (VENEZIANA) - 0,6 X 1,6 M ALUMÍNIO ANODIZADO COR NATURAL FIXA - GINÁSIO </t>
  </si>
  <si>
    <t xml:space="preserve">CPS.74071/003A </t>
  </si>
  <si>
    <t xml:space="preserve">PA1 - 0,9 X 2,1 M ALUMÍNIO ANODIZADO COR NATURAL 2 ARBIR - TELECENTRO, BIBLIOTECA </t>
  </si>
  <si>
    <t xml:space="preserve">JA9 - 0,6 X 0,6 M ALUMÍNIO ANODIZADO COR NATURAL MAXIMAR - CABINE DE PROJEÇÃO </t>
  </si>
  <si>
    <t>ESQUADRIAS METÁLICAS</t>
  </si>
  <si>
    <t>ART Nº : 275096</t>
  </si>
  <si>
    <t xml:space="preserve">DATA: </t>
  </si>
  <si>
    <t>LIMPEZA DO TERRENO - RASPAGEM MECANIZADA DE CAMADA VEGETAL</t>
  </si>
  <si>
    <t>73822/2</t>
  </si>
  <si>
    <t>74151/1</t>
  </si>
  <si>
    <t>74005/2</t>
  </si>
  <si>
    <t>COMPACTAÇÃO MECÂNICA COM CONTROLE DO GC=95% DO PN</t>
  </si>
  <si>
    <t>COMPOSIÇÃO DO BDI (Bonificações e Despesas Indiretas)</t>
  </si>
  <si>
    <t>1) DESPESAS FINANCEIRAS - ( 0,00% a 1,2%)</t>
  </si>
  <si>
    <t xml:space="preserve">Riscos, administ. Central, administ., Garantia </t>
  </si>
  <si>
    <t>1+X</t>
  </si>
  <si>
    <t>2) RISCOS  -  ( 0,00% A 2,05%)</t>
  </si>
  <si>
    <t>Despesas financeiras</t>
  </si>
  <si>
    <t>1+Y</t>
  </si>
  <si>
    <t>Bonificação/lucro</t>
  </si>
  <si>
    <t>1+Z</t>
  </si>
  <si>
    <t>COFINS/PIS/ISS/IR/CONTRIBUIÇÃO</t>
  </si>
  <si>
    <t>1-I</t>
  </si>
  <si>
    <t>3) TAXA DE ADMINISTRAÇÃO - ESCRITÓRIO CENTRAL - ( 0,11% a 8,03%)</t>
  </si>
  <si>
    <t>4) BONIFICAÇÃO / LUCRO  - ( 3,83% a 9,96%)</t>
  </si>
  <si>
    <t>5) GARANTIA - ( 0,00% a 0,42%)</t>
  </si>
  <si>
    <t>7) Impostos - tais itens podem variar, mas principalmente o ISS, que pode ser isento, ou variar até 5%, porem deduzindo-se o valor dos materiais aplicados o que corresponde em torno de 2 a 3%</t>
  </si>
  <si>
    <t>Intervalo total admissível (6,03% a 9,03%)</t>
  </si>
  <si>
    <t>COFINS=</t>
  </si>
  <si>
    <t>PIS=</t>
  </si>
  <si>
    <t>ISS=</t>
  </si>
  <si>
    <t>CPMF=</t>
  </si>
  <si>
    <t>BDI=</t>
  </si>
  <si>
    <t>ESCAVAÇÃO  MECANIZADA E CARGA DE MATERIAL DE 1ª CATEGORIA</t>
  </si>
  <si>
    <t>74139/002</t>
  </si>
  <si>
    <t>74070/4</t>
  </si>
  <si>
    <t>74130/6</t>
  </si>
  <si>
    <t>73860/8</t>
  </si>
  <si>
    <t>73860/9</t>
  </si>
  <si>
    <t>73860/11</t>
  </si>
  <si>
    <t>73860/12</t>
  </si>
  <si>
    <t xml:space="preserve">73746/001 </t>
  </si>
  <si>
    <t>73954/002</t>
  </si>
  <si>
    <t>OBSERVAÇÕES:</t>
  </si>
  <si>
    <t>COT 20201</t>
  </si>
  <si>
    <t>COT.74126/001A</t>
  </si>
  <si>
    <t>COT.74126/001C</t>
  </si>
  <si>
    <t>COT.74126/001E</t>
  </si>
  <si>
    <t>- OS PREÇOS UNITÁRIOS ENCONTRADOS NA TABELA DO SINAPI, FORAM ATUALIZADOS.</t>
  </si>
  <si>
    <t>COT.CULTURA06</t>
  </si>
  <si>
    <t>PF2-PORTAS ACÚSTICAS 50DB, METÁLICAS, 2 FOLHAS, 2.00M X 2.20M, COM ACABAMENTO PARA PINTURA, COM BARRAS ANTI-PÂNICO</t>
  </si>
  <si>
    <t>COT.CULTURA07</t>
  </si>
  <si>
    <t>PF1-PORTAS ACÚSTICAS 50DB, METÁLICAS, 1 FOLHAS, 1.00M X 2.10M, COM ACABAMENTO PARA PINTURA, COM BARRA ANTI-PÂNICO</t>
  </si>
  <si>
    <t>VIDROS</t>
  </si>
  <si>
    <t xml:space="preserve">CPS.72118A </t>
  </si>
  <si>
    <t>VIDRO LISO INCOLOR, ESPESSURA 6MM (FORNECIMENTO E COLOCAÇÃO)</t>
  </si>
  <si>
    <t xml:space="preserve">COBERTURA </t>
  </si>
  <si>
    <t>ESTRUTURA DE MADEIRA DE LEI 1A SERRADA NAO APARELHADA, PARA TELHAS ONDULADAS, VAOS ATE 7M</t>
  </si>
  <si>
    <t>CALHA EM CHAPA DE ACO GALVANIZADO N.24, DESENVOLVIMENTO 50CM</t>
  </si>
  <si>
    <t>RUFO EM CHAPA DE ACO GALVANIZADO N.24, DESENVOLVIMENTO 33CM</t>
  </si>
  <si>
    <t xml:space="preserve">74045/001 </t>
  </si>
  <si>
    <t>CUMEEIRA UNIVERSAL PARA TELHA DE FIBROCIMENTO ONDULADA ESPESSURA 6 MM, INCLUSO JUNTAS DE VEDACAO E ACESSORIOS DE FIXACAO</t>
  </si>
  <si>
    <t xml:space="preserve">74088/001 </t>
  </si>
  <si>
    <t>TELHAMENTO COM TELHA DE FIBROCIMENTO ONDULADA, ESPESSURA 6MM, INCLUSO JUNTAS DE VEDACAO E ACESSORIOS DE FIXACAO</t>
  </si>
  <si>
    <t xml:space="preserve">AGS.160911 </t>
  </si>
  <si>
    <t>COB.C/TELHA TRAPEZOIDAL TRANSLÚCIDA 1,5 MM C/ ACESSÓRIOS</t>
  </si>
  <si>
    <t>CUMEEIRA P/TELHA GALVANIZADA TRAPEZOIDAL 0,5 MM</t>
  </si>
  <si>
    <t xml:space="preserve">ML </t>
  </si>
  <si>
    <t>COBERTURA C/TELHA CHAPA GALV. TRAP.05 mm PRÉ-PINTADA NA COR AZUL C/ACESSORIOS</t>
  </si>
  <si>
    <t xml:space="preserve">IMPERMEABILIZAÇÃO </t>
  </si>
  <si>
    <t xml:space="preserve"> 73971/001 </t>
  </si>
  <si>
    <t xml:space="preserve"> IMPERMEABILIZACAO COM MANTA ASFALTICA 4MM   (LAJE DA CAIXA DE ÁGUA)</t>
  </si>
  <si>
    <t xml:space="preserve"> PROTECAO MECANICA COM ARGAMASSA TRACO 1:3 (CIMENTO E AREIA), ESPESSURA 2 CM(LAJE DA CAIXA DE ÁGUA)</t>
  </si>
  <si>
    <t xml:space="preserve">74106/001 </t>
  </si>
  <si>
    <t>IMPERMEABILIZACAO COM TINTA BETUMINOSA EM FUNDACOES, BALDRAMES E MUROS DE ARRIMO, DUAS DEMAOS</t>
  </si>
  <si>
    <t>73920/001</t>
  </si>
  <si>
    <t>REGULARIZACAO DE PISO/BASE EM ARGAMASSA TRACO 1:3 (CIMENTO E AREIA), ESPESSURA 2,0CM, PREPARO MANUAL</t>
  </si>
  <si>
    <t>REVESTIMENTO DE TETOS</t>
  </si>
  <si>
    <t>74105/001</t>
  </si>
  <si>
    <t>REVESTIMENTO DE TETOS COM GESSO CORRIDO DISTORCIDO</t>
  </si>
  <si>
    <t>REVESTIMENTO DE PAREDES</t>
  </si>
  <si>
    <t xml:space="preserve">73927/009 </t>
  </si>
  <si>
    <t>EMBOCO PAULISTA (MASSA UNICA) TRACO 1:2:8 (CIMENTO, CAL E AREIA), ESPESSURA 2,0CM, PREPARO MANUAL (BASE PARA REVESTIMENTO CERÂMICO)</t>
  </si>
  <si>
    <t xml:space="preserve">74161/001 </t>
  </si>
  <si>
    <t>CHAPISCO EM PAREDES TRACO 1:3 (CIMENTO E AREIA), ESPESSURA 0,5CM, PREPARO MECANICO</t>
  </si>
  <si>
    <t xml:space="preserve">AGS.200499 </t>
  </si>
  <si>
    <t>REBOCO PAULISTA A-14 (1CALH:4ARMLC+100kgCI/M3)</t>
  </si>
  <si>
    <t>AZULEJOS CERÂMICO 20 X 20 CM NA COR BRANCO JUNTA RETA ATÉ AO TETO 3MM, LINHA RETRÔ ELIANE OU EQUIVALENTE TÉCNICO ATÉ 1,80M DE ALTURA</t>
  </si>
  <si>
    <t>COMP.CULTURA04</t>
  </si>
  <si>
    <t>REVESTIMENTO DE PAREDES COM ENCHIMENTO EM ALVENARIA, CONFORME PLANTA BAIXA</t>
  </si>
  <si>
    <t>COT.CULTURA05</t>
  </si>
  <si>
    <t>FORRO ACÚSTICO ( SÓ ENTRE A CABINE E A ROTUNDA ) EM PAINEL ISOSOUD SOB A LAJE DE TETO</t>
  </si>
  <si>
    <t>REVESTIMENTO DE PISOS</t>
  </si>
  <si>
    <t>PISO LAMINADO EM CONCRETO 20 MPA PREPARO MECANICO (QUADRA DE ESPORTES), ESPESSURA 7CM, INCLUSO SELANTE ELASTICO A BASE DE POLIURETANO</t>
  </si>
  <si>
    <t xml:space="preserve">73920/001 </t>
  </si>
  <si>
    <t xml:space="preserve">AGT.221101 </t>
  </si>
  <si>
    <t>PISO EM GRANITINA E=2CM E JUNTA PLASTICA 27MM</t>
  </si>
  <si>
    <t>RODAPE DE GRANITINA</t>
  </si>
  <si>
    <t xml:space="preserve">PISO CERÂMICO 41X41, PEI 5, ANITIDERRAPANTE, COR BRANCO LINHA CARGO PLUS WHITE ELIANE OU EQUIVALENTE TÉCNICO </t>
  </si>
  <si>
    <t xml:space="preserve">CPS.74111/002 </t>
  </si>
  <si>
    <t>SOLEIRA DE GRANITO CINZA ANDORINHA, ESPESSURA 2CM, ASSENTADA COM ARGAMASSA COLANTE</t>
  </si>
  <si>
    <t>COT.CULTURA01</t>
  </si>
  <si>
    <t>PISO DO PALCO EM FRISOS MACHO-FÊMEA 0.10M X 0.024M, EM MADEIRA SECA E APARELHADA, SOBRE BARROTES DE MAÇARANDUBA 0.07M X 0.04M FIXADO NA LAJE COM PARAFUSOS E BUCHAS. OS ESPAÇOS VAZIOS SOBRE O PISO DEVE SER PREENCHIDO COM PLACAS DE ISOPOR</t>
  </si>
  <si>
    <t>PAVIMENTAÇÃO EXTERNA</t>
  </si>
  <si>
    <t>PISO RUSTICO EM CONCRETO, ESPESSURA 7CM, COM JUNTAS EM MADEIRA</t>
  </si>
  <si>
    <t xml:space="preserve">73789/002 </t>
  </si>
  <si>
    <t>MEIO-FIO DE CONCRETO MOLDADO NO LOCAL, USINADO 15 MPA, COM 0,30 M ALTURA X 0,15 M BASE, REJUNTE EM ARGAMASSA TRACO 1:3,5 (CIMENTO E AREIA)</t>
  </si>
  <si>
    <t xml:space="preserve">74115/001 </t>
  </si>
  <si>
    <t xml:space="preserve">CPA.68325 </t>
  </si>
  <si>
    <t>PISO LAMINADO EM CONCRETO 20 MPA PREPARO MECANICO (PISTA CAMINHADA), ESPESSURA 7CM, INCLUSO SELANTE ELASTICO A BASE DE POLIURETANO</t>
  </si>
  <si>
    <t xml:space="preserve">CPS.72187 </t>
  </si>
  <si>
    <t>PISO TÁTIL ALERTA (AMARELO) (40X40X6)CM RESISTENCIA DE 35MPA , ASSENTADO COM ARGAMASSA TRACO 1:3 (CIMENTO E AREIA)</t>
  </si>
  <si>
    <t xml:space="preserve">CPS.72187B </t>
  </si>
  <si>
    <t>PISO TÁTIL DIRECIONAL (VERMELHO) (40X40X6)CM RESISTENCIA DE 35MPA , ASSENTADO COM ARGAMASSA TRACO 1:3 (CIMENTO E AREIA)</t>
  </si>
  <si>
    <t xml:space="preserve">CPS.73764/001 </t>
  </si>
  <si>
    <t>74156/002 - PROPORCIONAL</t>
  </si>
  <si>
    <t>BLOCOS DE CONCRETO SERÃO DO TIPO “PAVER” MODELO PLATÔ 10X20 CM, DEVERÃO SER RESISTENTES À COMPREENSÃO MAIOR OU IGUAL A 35 MPA, COM ESPESSURA DE 6CM,” NA COR CINZA NATURAL.</t>
  </si>
  <si>
    <t>PISTA DE SKATE</t>
  </si>
  <si>
    <t>CAIXA SIFONADA PVC 150X150X50MM COM GRELHA REDONDA BRANCA - FORNECIMENTO E INSTALACAO</t>
  </si>
  <si>
    <t xml:space="preserve"> 74089/001</t>
  </si>
  <si>
    <t>TUBO PVC ESGOTO SERIE R DN 100MM - FORNECIMENTO E INSTALACAO</t>
  </si>
  <si>
    <t>CAIXA SIFONADA EM PVC 100X100X50MM SIMPLES - FORNECIMENTO E INSTALAÇÃO</t>
  </si>
  <si>
    <t>TE SANITARIO 50X50MM, JUNTA SOLDADA - FORNECIMENTO E INSTALACAO</t>
  </si>
  <si>
    <t>CURVA PVC CURTA 90º ESGOTO 100MM - FORNECIMENTO E INSTALACAO</t>
  </si>
  <si>
    <t>CURVA PVC LONGA 90º ESGOTO 100MM - FORNECIMENTO E INSTALACAO</t>
  </si>
  <si>
    <t>CURVA PVC LONGA 45º ESGOTO 100MM - FORNECIMENTO E INSTALACAO</t>
  </si>
  <si>
    <t>CURVA PVC CURTA 90º ESGOTO 50MM - FORNECIMENTO E INSTALACAO</t>
  </si>
  <si>
    <t>CURVA PVC LONGA 90º ESGOTO 50MM - FORNECIMENTO E INSTALACAO</t>
  </si>
  <si>
    <t>CURVA PVC LONGA 45º ESGOTO 50MM - FORNECIMENTO E INSTALACAO</t>
  </si>
  <si>
    <t>CURVA PVC CURTA 90º ESGOTO 40MM - FORNECIMENTO E INSTALACAO</t>
  </si>
  <si>
    <t>JOELHO PVC 90º ESGOTO 100MM - FORNECIMENTO E INSTALACAO</t>
  </si>
  <si>
    <t>JOELHO PVC 90º ESGOTO 50MM - FORNECIMENTO E INSTALACAO</t>
  </si>
  <si>
    <t>JUNCAO PVC ESGOTO 100X100MM - FORNECIMENTO E INSTALACAO</t>
  </si>
  <si>
    <t>JUNCAO PVC ESGOTO 50X50MM - FORNECIMENTO E INSTALACAO</t>
  </si>
  <si>
    <t>JUNCAO PVC ESGOTO 100X50MM - FORNECIMENTO E INSTALACAO</t>
  </si>
  <si>
    <t xml:space="preserve">73779/001 </t>
  </si>
  <si>
    <t>TUBO DE PVC BRANCO, SEM CONEXÕES, PONTA E BOLSA SOLDÁVEL 40MM - FORNECIMENTO E INSTALAÇÃO</t>
  </si>
  <si>
    <t xml:space="preserve">74026/001 </t>
  </si>
  <si>
    <t>TUBO PVC PARA ESGOTO PREDIAL DN 100MM - FORNECIMENTO E INSTALACAO</t>
  </si>
  <si>
    <t xml:space="preserve">AGT.72286A </t>
  </si>
  <si>
    <t>CAIXA DE AREIA 60X60X65CM EM ALVENARIA COM GRELHA- EXECUÇÃO</t>
  </si>
  <si>
    <t xml:space="preserve">AGT.81665 </t>
  </si>
  <si>
    <t>CAIXA SIFONADA DIAM. 250 X 172 X 50</t>
  </si>
  <si>
    <t>JOELHO 90 GRAUS C/BOLSA P/ANEL DIAM.40X1.1/2</t>
  </si>
  <si>
    <t xml:space="preserve">CPS.74051 </t>
  </si>
  <si>
    <t>CAIXA DE GORDURA 60X60X65CM EM ALVENARIA REVESTIDA COM ARGAMASSA 1:2:8 COM TAMPA E FUNDO EM CONCRETO, INCLUSIVE ESCAVAÇÃO, APILOAMENTO E IMPERMEABILIZAÇÃO COM APLICAÇÃO DE BETUME 2 DEMÃOS, CONFORME PROJETO HIDRO-SANITÁRIO</t>
  </si>
  <si>
    <t xml:space="preserve">CPS.74104/001A </t>
  </si>
  <si>
    <t>CAIXA DE INSPEÇÃO DE ESGOTO EM ALVENARIA DE TIJOLO MACIÇO 60X60X60CM, REVESTIDA INTERNAMENTO COM BARRA LISA (CIMENTO E AREIA, TRAÇO 1:4) E=2,0CM, COM TAMPA PRÉ-MOLDADA DE CONCRETO E FUNDO DE CONCRETO 15MPA TIPO C - ESCAVAÇÃO E CONFECÇÃO</t>
  </si>
  <si>
    <t xml:space="preserve">JOELHO PVC 45º ESGOTO 40MM - FORNECIMENTO E INSTALACAO </t>
  </si>
  <si>
    <t xml:space="preserve">VENTILAÇÃO </t>
  </si>
  <si>
    <t>JOELHO PVC 45º ESGOTO 50MM - FORNECIMENTO E INSTALACAO</t>
  </si>
  <si>
    <t xml:space="preserve">INCENDIO </t>
  </si>
  <si>
    <t xml:space="preserve">COT.73953 </t>
  </si>
  <si>
    <t xml:space="preserve">REFERENCIA: OBRA -  PEC 3000 </t>
  </si>
  <si>
    <t>BLOCO AUTÔNOMO PARA ILUMINAÇÃO DE EMERGÊNCIA, PARA 2 LÂMPADAS FLUORESCENTES TUBULARES DE 9W, COM BATERIA INTERNA E AUTONOMIA MÍNIMA DE 6 HORAS, REF. DYNALUX OU SIMILAR</t>
  </si>
  <si>
    <t xml:space="preserve">COT.SN40 </t>
  </si>
  <si>
    <t>PICTOGRAMA (ROTA DE FUGA (SETA P/ ESQUERDA) COMP. 0,4M E LARG.0,28M</t>
  </si>
  <si>
    <t xml:space="preserve">COT.SN41 </t>
  </si>
  <si>
    <t>PICTOGRAMA (EXTINTOR DE INCÊNDIO (PÓ QUÍMICO)) COMP. 0,4M E LARG.0,28M</t>
  </si>
  <si>
    <t xml:space="preserve">CPS.73775/001A </t>
  </si>
  <si>
    <t>EXTINTOR INCENDIO TP PO QUIMICO -ABC: 2-A; 20-B:C FORNECIMENTO E COLOCACAO</t>
  </si>
  <si>
    <t xml:space="preserve">LOUÇAS E METAIS </t>
  </si>
</sst>
</file>

<file path=xl/styles.xml><?xml version="1.0" encoding="utf-8"?>
<styleSheet xmlns="http://schemas.openxmlformats.org/spreadsheetml/2006/main">
  <numFmts count="29">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 &quot;#,##0_);&quot;(R$ &quot;#,##0\)"/>
    <numFmt numFmtId="165" formatCode="#,##0.00\ ;\-#,##0.00\ ;&quot; -&quot;#\ ;@\ "/>
    <numFmt numFmtId="166" formatCode="#,##0.000000"/>
    <numFmt numFmtId="167" formatCode="_-* #,##0.00_-;\-* #,##0.00_-;_-* \-??_-;_-@_-"/>
    <numFmt numFmtId="168" formatCode="&quot;R$ &quot;#,##0.00"/>
    <numFmt numFmtId="169" formatCode="#,##0.0000"/>
    <numFmt numFmtId="170" formatCode="#,##0.000"/>
    <numFmt numFmtId="171" formatCode="#,##0.00000"/>
    <numFmt numFmtId="172" formatCode="dd/mm/yy"/>
    <numFmt numFmtId="173" formatCode="_-* #,##0.0_-;\-* #,##0.0_-;_-* \-??_-;_-@_-"/>
    <numFmt numFmtId="174" formatCode="_-* #,##0_-;\-* #,##0_-;_-* \-??_-;_-@_-"/>
    <numFmt numFmtId="175" formatCode="0.0%"/>
    <numFmt numFmtId="176" formatCode="_(* #,##0.0000_);_(* \(#,##0.0000\);_(* &quot;-&quot;??_);_(@_)"/>
    <numFmt numFmtId="177" formatCode="_ * #,##0.00_ ;_ * \-#,##0.00_ ;_ * &quot;-&quot;??_ ;_ @_ "/>
    <numFmt numFmtId="178" formatCode="_(* #,##0.000_);_(* \(#,##0.000\);_(* &quot;-&quot;??_);_(@_)"/>
    <numFmt numFmtId="179" formatCode="#,##0.00000000"/>
    <numFmt numFmtId="180" formatCode="?0.00"/>
    <numFmt numFmtId="181" formatCode="mmmm\-yy"/>
    <numFmt numFmtId="182" formatCode="_ * #,##0.0000_ ;_ * \-#,##0.0000_ ;_ * &quot;-&quot;??_ ;_ @_ "/>
    <numFmt numFmtId="183" formatCode="#,##0.0\ ;\-#,##0.0\ ;&quot; -&quot;#\ ;@\ "/>
    <numFmt numFmtId="184" formatCode="#,##0\ ;\-#,##0\ ;&quot; -&quot;#\ ;@\ "/>
  </numFmts>
  <fonts count="33">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0"/>
      <color indexed="8"/>
      <name val="Arial"/>
      <family val="2"/>
    </font>
    <font>
      <b/>
      <sz val="10"/>
      <color indexed="8"/>
      <name val="Arial"/>
      <family val="2"/>
    </font>
    <font>
      <b/>
      <sz val="10"/>
      <name val="Arial"/>
      <family val="2"/>
    </font>
    <font>
      <sz val="11"/>
      <name val="Calibri"/>
      <family val="2"/>
    </font>
    <font>
      <b/>
      <sz val="18"/>
      <name val="Arial"/>
      <family val="2"/>
    </font>
    <font>
      <sz val="18"/>
      <name val="Arial"/>
      <family val="2"/>
    </font>
    <font>
      <sz val="14"/>
      <name val="Arial"/>
      <family val="2"/>
    </font>
    <font>
      <sz val="12"/>
      <name val="Arial"/>
      <family val="2"/>
    </font>
    <font>
      <b/>
      <sz val="12"/>
      <name val="Arial"/>
      <family val="2"/>
    </font>
    <font>
      <sz val="8"/>
      <name val="Arial"/>
      <family val="2"/>
    </font>
    <font>
      <b/>
      <sz val="16"/>
      <name val="Arial"/>
      <family val="2"/>
    </font>
    <font>
      <sz val="6"/>
      <name val="Arial"/>
      <family val="2"/>
    </font>
    <font>
      <sz val="10"/>
      <color indexed="48"/>
      <name val="Arial"/>
      <family val="2"/>
    </font>
    <font>
      <b/>
      <sz val="14"/>
      <color indexed="8"/>
      <name val="Arial"/>
      <family val="2"/>
    </font>
    <font>
      <sz val="10"/>
      <color indexed="8"/>
      <name val="Calibri"/>
      <family val="2"/>
    </font>
  </fonts>
  <fills count="24">
    <fill>
      <patternFill/>
    </fill>
    <fill>
      <patternFill patternType="gray125"/>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27"/>
        <bgColor indexed="64"/>
      </patternFill>
    </fill>
    <fill>
      <patternFill patternType="solid">
        <fgColor indexed="31"/>
        <bgColor indexed="64"/>
      </patternFill>
    </fill>
    <fill>
      <patternFill patternType="solid">
        <fgColor indexed="29"/>
        <bgColor indexed="64"/>
      </patternFill>
    </fill>
    <fill>
      <patternFill patternType="solid">
        <fgColor indexed="44"/>
        <bgColor indexed="64"/>
      </patternFill>
    </fill>
    <fill>
      <patternFill patternType="solid">
        <fgColor indexed="49"/>
        <bgColor indexed="64"/>
      </patternFill>
    </fill>
    <fill>
      <patternFill patternType="solid">
        <fgColor indexed="22"/>
        <bgColor indexed="64"/>
      </patternFill>
    </fill>
    <fill>
      <patternFill patternType="solid">
        <fgColor indexed="42"/>
        <bgColor indexed="64"/>
      </patternFill>
    </fill>
    <fill>
      <patternFill patternType="solid">
        <fgColor indexed="26"/>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41"/>
        <bgColor indexed="64"/>
      </patternFill>
    </fill>
    <fill>
      <patternFill patternType="solid">
        <fgColor indexed="9"/>
        <bgColor indexed="64"/>
      </patternFill>
    </fill>
  </fills>
  <borders count="6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medium">
        <color indexed="8"/>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medium">
        <color indexed="8"/>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medium">
        <color indexed="8"/>
      </left>
      <right style="medium">
        <color indexed="8"/>
      </right>
      <top style="medium">
        <color indexed="8"/>
      </top>
      <bottom style="thin">
        <color indexed="8"/>
      </bottom>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style="medium">
        <color indexed="8"/>
      </left>
      <right style="medium">
        <color indexed="8"/>
      </right>
      <top>
        <color indexed="63"/>
      </top>
      <bottom style="medium">
        <color indexed="8"/>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color indexed="8"/>
      </right>
      <top>
        <color indexed="63"/>
      </top>
      <bottom style="medium">
        <color indexed="8"/>
      </bottom>
    </border>
    <border>
      <left style="medium">
        <color indexed="8"/>
      </left>
      <right>
        <color indexed="63"/>
      </right>
      <top style="thin"/>
      <bottom style="medium"/>
    </border>
    <border>
      <left>
        <color indexed="63"/>
      </left>
      <right>
        <color indexed="63"/>
      </right>
      <top style="thin"/>
      <bottom style="medium"/>
    </border>
    <border>
      <left style="thin"/>
      <right style="thin"/>
      <top style="thin"/>
      <bottom style="medium"/>
    </border>
    <border>
      <left style="thin"/>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color indexed="8"/>
      </top>
      <bottom style="thin"/>
    </border>
    <border>
      <left>
        <color indexed="63"/>
      </left>
      <right>
        <color indexed="63"/>
      </right>
      <top style="thin">
        <color indexed="8"/>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1" borderId="0" applyNumberFormat="0" applyBorder="0" applyAlignment="0" applyProtection="0"/>
    <xf numFmtId="0" fontId="4" fillId="12" borderId="1" applyNumberFormat="0" applyAlignment="0" applyProtection="0"/>
    <xf numFmtId="0" fontId="5" fillId="13" borderId="2" applyNumberFormat="0" applyAlignment="0" applyProtection="0"/>
    <xf numFmtId="0" fontId="6" fillId="0" borderId="3" applyNumberFormat="0" applyFill="0" applyAlignment="0" applyProtection="0"/>
    <xf numFmtId="0" fontId="2" fillId="9"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9" borderId="0" applyNumberFormat="0" applyBorder="0" applyAlignment="0" applyProtection="0"/>
    <xf numFmtId="0" fontId="2" fillId="17" borderId="0" applyNumberFormat="0" applyBorder="0" applyAlignment="0" applyProtection="0"/>
    <xf numFmtId="0" fontId="7" fillId="3" borderId="1" applyNumberFormat="0" applyAlignment="0" applyProtection="0"/>
    <xf numFmtId="0" fontId="1" fillId="0" borderId="0">
      <alignment/>
      <protection/>
    </xf>
    <xf numFmtId="0" fontId="1" fillId="0" borderId="0">
      <alignment/>
      <protection/>
    </xf>
    <xf numFmtId="0" fontId="8" fillId="18" borderId="0" applyNumberFormat="0" applyBorder="0" applyAlignment="0" applyProtection="0"/>
    <xf numFmtId="44" fontId="0" fillId="0" borderId="0" applyFill="0" applyBorder="0" applyAlignment="0" applyProtection="0"/>
    <xf numFmtId="42" fontId="0" fillId="0" borderId="0" applyFill="0" applyBorder="0" applyAlignment="0" applyProtection="0"/>
    <xf numFmtId="0" fontId="9" fillId="4" borderId="0" applyNumberFormat="0" applyBorder="0" applyAlignment="0" applyProtection="0"/>
    <xf numFmtId="0" fontId="0" fillId="0" borderId="0">
      <alignment/>
      <protection/>
    </xf>
    <xf numFmtId="0" fontId="0" fillId="4" borderId="4" applyNumberFormat="0" applyAlignment="0" applyProtection="0"/>
    <xf numFmtId="9" fontId="0" fillId="0" borderId="0" applyFill="0" applyBorder="0" applyAlignment="0" applyProtection="0"/>
    <xf numFmtId="0" fontId="10" fillId="12" borderId="5" applyNumberFormat="0" applyAlignment="0" applyProtection="0"/>
    <xf numFmtId="165" fontId="1" fillId="0" borderId="0">
      <alignment/>
      <protection/>
    </xf>
    <xf numFmtId="41" fontId="0" fillId="0" borderId="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0" borderId="7" applyNumberFormat="0" applyFill="0" applyAlignment="0" applyProtection="0"/>
    <xf numFmtId="0" fontId="16" fillId="0" borderId="8" applyNumberFormat="0" applyFill="0" applyAlignment="0" applyProtection="0"/>
    <xf numFmtId="0" fontId="16" fillId="0" borderId="0" applyNumberFormat="0" applyFill="0" applyBorder="0" applyAlignment="0" applyProtection="0"/>
    <xf numFmtId="0" fontId="17" fillId="0" borderId="9" applyNumberFormat="0" applyFill="0" applyAlignment="0" applyProtection="0"/>
  </cellStyleXfs>
  <cellXfs count="320">
    <xf numFmtId="0" fontId="0" fillId="0" borderId="0" xfId="0" applyAlignment="1">
      <alignment/>
    </xf>
    <xf numFmtId="4" fontId="23" fillId="19" borderId="0" xfId="0" applyNumberFormat="1" applyFont="1" applyFill="1" applyBorder="1" applyAlignment="1" applyProtection="1">
      <alignment horizontal="center" vertical="top"/>
      <protection/>
    </xf>
    <xf numFmtId="4" fontId="24" fillId="19" borderId="10" xfId="0" applyNumberFormat="1" applyFont="1" applyFill="1" applyBorder="1" applyAlignment="1" applyProtection="1">
      <alignment horizontal="left" vertical="top"/>
      <protection/>
    </xf>
    <xf numFmtId="4" fontId="24" fillId="19" borderId="11" xfId="0" applyNumberFormat="1" applyFont="1" applyFill="1" applyBorder="1" applyAlignment="1" applyProtection="1">
      <alignment horizontal="left" vertical="top"/>
      <protection/>
    </xf>
    <xf numFmtId="4" fontId="24" fillId="19" borderId="12" xfId="0" applyNumberFormat="1" applyFont="1" applyFill="1" applyBorder="1" applyAlignment="1" applyProtection="1">
      <alignment horizontal="left" vertical="top"/>
      <protection/>
    </xf>
    <xf numFmtId="4" fontId="24" fillId="19" borderId="13" xfId="0" applyNumberFormat="1" applyFont="1" applyFill="1" applyBorder="1" applyAlignment="1" applyProtection="1">
      <alignment horizontal="left" vertical="top"/>
      <protection/>
    </xf>
    <xf numFmtId="4" fontId="25" fillId="19" borderId="10" xfId="0" applyNumberFormat="1" applyFont="1" applyFill="1" applyBorder="1" applyAlignment="1" applyProtection="1">
      <alignment horizontal="left" vertical="top"/>
      <protection/>
    </xf>
    <xf numFmtId="4" fontId="25" fillId="19" borderId="11" xfId="0" applyNumberFormat="1" applyFont="1" applyFill="1" applyBorder="1" applyAlignment="1" applyProtection="1">
      <alignment horizontal="left" vertical="top"/>
      <protection/>
    </xf>
    <xf numFmtId="4" fontId="25" fillId="19" borderId="12" xfId="0" applyNumberFormat="1" applyFont="1" applyFill="1" applyBorder="1" applyAlignment="1" applyProtection="1">
      <alignment horizontal="left" vertical="top"/>
      <protection/>
    </xf>
    <xf numFmtId="4" fontId="25" fillId="19" borderId="10" xfId="0" applyNumberFormat="1" applyFont="1" applyFill="1" applyBorder="1" applyAlignment="1" applyProtection="1">
      <alignment horizontal="right"/>
      <protection/>
    </xf>
    <xf numFmtId="0" fontId="25" fillId="19" borderId="12" xfId="0" applyFont="1" applyFill="1" applyBorder="1" applyAlignment="1">
      <alignment/>
    </xf>
    <xf numFmtId="0" fontId="26" fillId="19" borderId="10" xfId="0" applyFont="1" applyFill="1" applyBorder="1" applyAlignment="1" applyProtection="1">
      <alignment horizontal="left"/>
      <protection/>
    </xf>
    <xf numFmtId="0" fontId="0" fillId="19" borderId="0" xfId="0" applyFill="1" applyAlignment="1">
      <alignment/>
    </xf>
    <xf numFmtId="167" fontId="0" fillId="19" borderId="0" xfId="0" applyNumberFormat="1" applyFill="1" applyAlignment="1">
      <alignment/>
    </xf>
    <xf numFmtId="1" fontId="19" fillId="20" borderId="0" xfId="54" applyNumberFormat="1" applyFont="1" applyFill="1" applyBorder="1" applyAlignment="1">
      <alignment horizontal="center" vertical="center" wrapText="1"/>
      <protection/>
    </xf>
    <xf numFmtId="0" fontId="19" fillId="20" borderId="0" xfId="0" applyFont="1" applyFill="1" applyBorder="1" applyAlignment="1">
      <alignment horizontal="center" vertical="top" wrapText="1"/>
    </xf>
    <xf numFmtId="167" fontId="19" fillId="20" borderId="0" xfId="54" applyNumberFormat="1" applyFont="1" applyFill="1" applyBorder="1" applyAlignment="1">
      <alignment horizontal="right" vertical="top" wrapText="1"/>
      <protection/>
    </xf>
    <xf numFmtId="4" fontId="19" fillId="20" borderId="0" xfId="0" applyNumberFormat="1" applyFont="1" applyFill="1" applyBorder="1" applyAlignment="1">
      <alignment vertical="top"/>
    </xf>
    <xf numFmtId="4" fontId="19" fillId="20" borderId="14" xfId="0" applyNumberFormat="1" applyFont="1" applyFill="1" applyBorder="1" applyAlignment="1">
      <alignment horizontal="center" vertical="top"/>
    </xf>
    <xf numFmtId="4" fontId="19" fillId="20" borderId="15" xfId="0" applyNumberFormat="1" applyFont="1" applyFill="1" applyBorder="1" applyAlignment="1">
      <alignment horizontal="center" vertical="top"/>
    </xf>
    <xf numFmtId="4" fontId="19" fillId="20" borderId="16" xfId="0" applyNumberFormat="1" applyFont="1" applyFill="1" applyBorder="1" applyAlignment="1">
      <alignment horizontal="center" vertical="top"/>
    </xf>
    <xf numFmtId="4" fontId="19" fillId="20" borderId="17" xfId="0" applyNumberFormat="1" applyFont="1" applyFill="1" applyBorder="1" applyAlignment="1">
      <alignment horizontal="center" vertical="top"/>
    </xf>
    <xf numFmtId="4" fontId="19" fillId="20" borderId="18" xfId="0" applyNumberFormat="1" applyFont="1" applyFill="1" applyBorder="1" applyAlignment="1">
      <alignment horizontal="center" vertical="top"/>
    </xf>
    <xf numFmtId="4" fontId="19" fillId="20" borderId="0" xfId="0" applyNumberFormat="1" applyFont="1" applyFill="1" applyBorder="1" applyAlignment="1">
      <alignment horizontal="center" vertical="top"/>
    </xf>
    <xf numFmtId="4" fontId="20" fillId="20" borderId="17" xfId="0" applyNumberFormat="1" applyFont="1" applyFill="1" applyBorder="1" applyAlignment="1">
      <alignment horizontal="center" vertical="top"/>
    </xf>
    <xf numFmtId="4" fontId="20" fillId="20" borderId="15" xfId="0" applyNumberFormat="1" applyFont="1" applyFill="1" applyBorder="1" applyAlignment="1">
      <alignment horizontal="center" vertical="top"/>
    </xf>
    <xf numFmtId="4" fontId="20" fillId="20" borderId="18" xfId="0" applyNumberFormat="1" applyFont="1" applyFill="1" applyBorder="1" applyAlignment="1">
      <alignment horizontal="center" vertical="top"/>
    </xf>
    <xf numFmtId="0" fontId="25" fillId="19" borderId="0" xfId="0" applyFont="1" applyFill="1" applyAlignment="1">
      <alignment/>
    </xf>
    <xf numFmtId="1" fontId="19" fillId="20" borderId="19" xfId="54" applyNumberFormat="1" applyFont="1" applyFill="1" applyBorder="1" applyAlignment="1">
      <alignment horizontal="center" vertical="center" wrapText="1"/>
      <protection/>
    </xf>
    <xf numFmtId="0" fontId="19" fillId="20" borderId="20" xfId="0" applyFont="1" applyFill="1" applyBorder="1" applyAlignment="1">
      <alignment horizontal="left" vertical="top" wrapText="1"/>
    </xf>
    <xf numFmtId="167" fontId="19" fillId="20" borderId="20" xfId="54" applyNumberFormat="1" applyFont="1" applyFill="1" applyBorder="1" applyAlignment="1">
      <alignment horizontal="center" vertical="top" wrapText="1"/>
      <protection/>
    </xf>
    <xf numFmtId="4" fontId="19" fillId="20" borderId="21" xfId="0" applyNumberFormat="1" applyFont="1" applyFill="1" applyBorder="1" applyAlignment="1">
      <alignment horizontal="center" vertical="top"/>
    </xf>
    <xf numFmtId="4" fontId="19" fillId="20" borderId="22" xfId="0" applyNumberFormat="1" applyFont="1" applyFill="1" applyBorder="1" applyAlignment="1">
      <alignment horizontal="center" vertical="top"/>
    </xf>
    <xf numFmtId="1" fontId="19" fillId="20" borderId="23" xfId="54" applyNumberFormat="1" applyFont="1" applyFill="1" applyBorder="1" applyAlignment="1">
      <alignment horizontal="center" vertical="center" wrapText="1"/>
      <protection/>
    </xf>
    <xf numFmtId="0" fontId="19" fillId="20" borderId="24" xfId="0" applyFont="1" applyFill="1" applyBorder="1" applyAlignment="1">
      <alignment horizontal="center" vertical="top" wrapText="1"/>
    </xf>
    <xf numFmtId="167" fontId="19" fillId="20" borderId="24" xfId="54" applyNumberFormat="1" applyFont="1" applyFill="1" applyBorder="1" applyAlignment="1">
      <alignment horizontal="right" vertical="top" wrapText="1"/>
      <protection/>
    </xf>
    <xf numFmtId="4" fontId="19" fillId="20" borderId="25" xfId="0" applyNumberFormat="1" applyFont="1" applyFill="1" applyBorder="1" applyAlignment="1">
      <alignment vertical="top"/>
    </xf>
    <xf numFmtId="4" fontId="19" fillId="20" borderId="26" xfId="0" applyNumberFormat="1" applyFont="1" applyFill="1" applyBorder="1" applyAlignment="1">
      <alignment horizontal="center" vertical="top"/>
    </xf>
    <xf numFmtId="4" fontId="19" fillId="20" borderId="27" xfId="0" applyNumberFormat="1" applyFont="1" applyFill="1" applyBorder="1" applyAlignment="1">
      <alignment horizontal="center" vertical="top"/>
    </xf>
    <xf numFmtId="4" fontId="19" fillId="20" borderId="28" xfId="0" applyNumberFormat="1" applyFont="1" applyFill="1" applyBorder="1" applyAlignment="1">
      <alignment horizontal="center" vertical="top"/>
    </xf>
    <xf numFmtId="4" fontId="19" fillId="20" borderId="29" xfId="0" applyNumberFormat="1" applyFont="1" applyFill="1" applyBorder="1" applyAlignment="1">
      <alignment horizontal="center" vertical="top"/>
    </xf>
    <xf numFmtId="4" fontId="19" fillId="20" borderId="30" xfId="0" applyNumberFormat="1" applyFont="1" applyFill="1" applyBorder="1" applyAlignment="1">
      <alignment horizontal="center" vertical="top"/>
    </xf>
    <xf numFmtId="4" fontId="19" fillId="20" borderId="31" xfId="0" applyNumberFormat="1" applyFont="1" applyFill="1" applyBorder="1" applyAlignment="1">
      <alignment horizontal="center" vertical="top"/>
    </xf>
    <xf numFmtId="4" fontId="20" fillId="20" borderId="29" xfId="0" applyNumberFormat="1" applyFont="1" applyFill="1" applyBorder="1" applyAlignment="1">
      <alignment horizontal="center" vertical="top"/>
    </xf>
    <xf numFmtId="4" fontId="20" fillId="20" borderId="27" xfId="0" applyNumberFormat="1" applyFont="1" applyFill="1" applyBorder="1" applyAlignment="1">
      <alignment horizontal="center" vertical="top"/>
    </xf>
    <xf numFmtId="4" fontId="20" fillId="20" borderId="30" xfId="0" applyNumberFormat="1" applyFont="1" applyFill="1" applyBorder="1" applyAlignment="1">
      <alignment horizontal="center" vertical="top"/>
    </xf>
    <xf numFmtId="168" fontId="19" fillId="21" borderId="32" xfId="54" applyNumberFormat="1" applyFont="1" applyFill="1" applyBorder="1" applyAlignment="1">
      <alignment horizontal="center" vertical="top"/>
      <protection/>
    </xf>
    <xf numFmtId="4" fontId="19" fillId="21" borderId="32" xfId="54" applyNumberFormat="1" applyFont="1" applyFill="1" applyBorder="1" applyAlignment="1">
      <alignment horizontal="center" vertical="top"/>
      <protection/>
    </xf>
    <xf numFmtId="10" fontId="20" fillId="21" borderId="32" xfId="52" applyNumberFormat="1" applyFont="1" applyFill="1" applyBorder="1" applyAlignment="1">
      <alignment horizontal="center" vertical="top"/>
    </xf>
    <xf numFmtId="165" fontId="1" fillId="19" borderId="13" xfId="54" applyFill="1" applyBorder="1">
      <alignment/>
      <protection/>
    </xf>
    <xf numFmtId="4" fontId="23" fillId="19" borderId="0" xfId="0" applyNumberFormat="1" applyFont="1" applyFill="1" applyAlignment="1" applyProtection="1">
      <alignment horizontal="center" vertical="top"/>
      <protection/>
    </xf>
    <xf numFmtId="0" fontId="0" fillId="0" borderId="0" xfId="0" applyAlignment="1" applyProtection="1">
      <alignment/>
      <protection/>
    </xf>
    <xf numFmtId="0" fontId="0" fillId="19" borderId="0" xfId="0" applyFill="1" applyAlignment="1" applyProtection="1">
      <alignment/>
      <protection/>
    </xf>
    <xf numFmtId="0" fontId="28" fillId="19" borderId="0" xfId="0" applyFont="1" applyFill="1" applyBorder="1" applyAlignment="1">
      <alignment horizontal="center"/>
    </xf>
    <xf numFmtId="4" fontId="25" fillId="0" borderId="10" xfId="0" applyNumberFormat="1" applyFont="1" applyFill="1" applyBorder="1" applyAlignment="1" applyProtection="1">
      <alignment horizontal="left" vertical="top"/>
      <protection/>
    </xf>
    <xf numFmtId="4" fontId="25" fillId="0" borderId="11" xfId="0" applyNumberFormat="1" applyFont="1" applyFill="1" applyBorder="1" applyAlignment="1" applyProtection="1">
      <alignment horizontal="left" vertical="top"/>
      <protection/>
    </xf>
    <xf numFmtId="4" fontId="25" fillId="0" borderId="12" xfId="0" applyNumberFormat="1" applyFont="1" applyFill="1" applyBorder="1" applyAlignment="1" applyProtection="1">
      <alignment horizontal="left" vertical="top"/>
      <protection/>
    </xf>
    <xf numFmtId="0" fontId="0" fillId="0" borderId="0" xfId="0" applyFill="1" applyAlignment="1">
      <alignment/>
    </xf>
    <xf numFmtId="4" fontId="25" fillId="0" borderId="11" xfId="0" applyNumberFormat="1" applyFont="1" applyFill="1" applyBorder="1" applyAlignment="1" applyProtection="1">
      <alignment horizontal="left"/>
      <protection/>
    </xf>
    <xf numFmtId="0" fontId="0" fillId="0" borderId="0" xfId="0" applyFill="1" applyBorder="1" applyAlignment="1">
      <alignment/>
    </xf>
    <xf numFmtId="0" fontId="0" fillId="0" borderId="33" xfId="0" applyFill="1" applyBorder="1" applyAlignment="1">
      <alignment/>
    </xf>
    <xf numFmtId="0" fontId="0" fillId="0" borderId="34" xfId="0" applyFill="1" applyBorder="1" applyAlignment="1">
      <alignment/>
    </xf>
    <xf numFmtId="0" fontId="0" fillId="0" borderId="35" xfId="0" applyFill="1" applyBorder="1" applyAlignment="1">
      <alignment/>
    </xf>
    <xf numFmtId="0" fontId="0" fillId="0" borderId="36" xfId="0" applyFill="1" applyBorder="1" applyAlignment="1">
      <alignment/>
    </xf>
    <xf numFmtId="0" fontId="0" fillId="0" borderId="37" xfId="0" applyFill="1" applyBorder="1" applyAlignment="1">
      <alignment/>
    </xf>
    <xf numFmtId="10" fontId="0" fillId="0" borderId="38" xfId="52" applyNumberFormat="1" applyFill="1" applyBorder="1" applyAlignment="1">
      <alignment/>
    </xf>
    <xf numFmtId="0" fontId="29" fillId="0" borderId="0" xfId="0" applyFont="1" applyFill="1" applyBorder="1" applyAlignment="1">
      <alignment/>
    </xf>
    <xf numFmtId="0" fontId="0" fillId="0" borderId="13" xfId="0" applyFont="1" applyFill="1" applyBorder="1" applyAlignment="1">
      <alignment/>
    </xf>
    <xf numFmtId="178" fontId="30" fillId="0" borderId="13" xfId="54" applyNumberFormat="1" applyFont="1" applyFill="1" applyBorder="1">
      <alignment/>
      <protection/>
    </xf>
    <xf numFmtId="10" fontId="0" fillId="0" borderId="0" xfId="52" applyNumberFormat="1" applyFill="1" applyBorder="1" applyAlignment="1">
      <alignment/>
    </xf>
    <xf numFmtId="0" fontId="0" fillId="0" borderId="36" xfId="0" applyFill="1" applyBorder="1" applyAlignment="1">
      <alignment/>
    </xf>
    <xf numFmtId="0" fontId="0" fillId="0" borderId="0" xfId="0" applyFill="1" applyBorder="1" applyAlignment="1">
      <alignment horizontal="center"/>
    </xf>
    <xf numFmtId="10" fontId="0" fillId="0" borderId="0" xfId="0" applyNumberFormat="1" applyFill="1" applyBorder="1" applyAlignment="1">
      <alignment/>
    </xf>
    <xf numFmtId="0" fontId="26" fillId="0" borderId="0" xfId="0" applyFont="1" applyFill="1" applyBorder="1" applyAlignment="1">
      <alignment/>
    </xf>
    <xf numFmtId="10" fontId="26" fillId="0" borderId="0" xfId="52" applyNumberFormat="1" applyFont="1" applyFill="1"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4" fontId="25" fillId="0" borderId="42" xfId="0" applyNumberFormat="1" applyFont="1" applyFill="1" applyBorder="1" applyAlignment="1" applyProtection="1">
      <alignment horizontal="left" vertical="top"/>
      <protection/>
    </xf>
    <xf numFmtId="4" fontId="25" fillId="0" borderId="43" xfId="0" applyNumberFormat="1" applyFont="1" applyFill="1" applyBorder="1" applyAlignment="1" applyProtection="1">
      <alignment horizontal="left" vertical="top"/>
      <protection/>
    </xf>
    <xf numFmtId="4" fontId="25" fillId="0" borderId="44" xfId="0" applyNumberFormat="1" applyFont="1" applyFill="1" applyBorder="1" applyAlignment="1" applyProtection="1">
      <alignment horizontal="left" vertical="top"/>
      <protection/>
    </xf>
    <xf numFmtId="4" fontId="25" fillId="0" borderId="10" xfId="0" applyNumberFormat="1" applyFont="1" applyFill="1" applyBorder="1" applyAlignment="1" applyProtection="1">
      <alignment horizontal="left"/>
      <protection/>
    </xf>
    <xf numFmtId="172" fontId="25" fillId="0" borderId="11" xfId="0" applyNumberFormat="1" applyFont="1" applyFill="1" applyBorder="1" applyAlignment="1" applyProtection="1">
      <alignment horizontal="left"/>
      <protection/>
    </xf>
    <xf numFmtId="4" fontId="18" fillId="19" borderId="13" xfId="44" applyNumberFormat="1" applyFont="1" applyFill="1" applyBorder="1" applyAlignment="1">
      <alignment horizontal="right" vertical="top" wrapText="1"/>
      <protection/>
    </xf>
    <xf numFmtId="4" fontId="18" fillId="19" borderId="13" xfId="44" applyNumberFormat="1" applyFont="1" applyFill="1" applyBorder="1" applyAlignment="1" applyProtection="1">
      <alignment horizontal="right" vertical="top" wrapText="1"/>
      <protection/>
    </xf>
    <xf numFmtId="4" fontId="0" fillId="19" borderId="13" xfId="44" applyNumberFormat="1" applyFont="1" applyFill="1" applyBorder="1" applyAlignment="1" applyProtection="1">
      <alignment horizontal="right" vertical="top" wrapText="1"/>
      <protection/>
    </xf>
    <xf numFmtId="165" fontId="18" fillId="19" borderId="13" xfId="54" applyNumberFormat="1" applyFont="1" applyFill="1" applyBorder="1" applyAlignment="1" applyProtection="1">
      <alignment horizontal="right" vertical="top" wrapText="1"/>
      <protection/>
    </xf>
    <xf numFmtId="0" fontId="18" fillId="19" borderId="13" xfId="44" applyFont="1" applyFill="1" applyBorder="1" applyAlignment="1">
      <alignment horizontal="left" vertical="top" wrapText="1"/>
      <protection/>
    </xf>
    <xf numFmtId="0" fontId="18" fillId="19" borderId="13" xfId="44" applyFont="1" applyFill="1" applyBorder="1" applyAlignment="1">
      <alignment horizontal="center" vertical="top" wrapText="1"/>
      <protection/>
    </xf>
    <xf numFmtId="0" fontId="1" fillId="19" borderId="0" xfId="44" applyFill="1">
      <alignment/>
      <protection/>
    </xf>
    <xf numFmtId="4" fontId="0" fillId="19" borderId="13" xfId="44" applyNumberFormat="1" applyFont="1" applyFill="1" applyBorder="1" applyAlignment="1">
      <alignment horizontal="right" vertical="top" wrapText="1"/>
      <protection/>
    </xf>
    <xf numFmtId="165" fontId="0" fillId="19" borderId="13" xfId="54" applyNumberFormat="1" applyFont="1" applyFill="1" applyBorder="1" applyAlignment="1" applyProtection="1">
      <alignment horizontal="right" vertical="top" wrapText="1"/>
      <protection/>
    </xf>
    <xf numFmtId="4" fontId="18" fillId="19" borderId="13" xfId="0" applyNumberFormat="1" applyFont="1" applyFill="1" applyBorder="1" applyAlignment="1">
      <alignment horizontal="right" vertical="top" wrapText="1"/>
    </xf>
    <xf numFmtId="165" fontId="18" fillId="19" borderId="13" xfId="54" applyNumberFormat="1" applyFont="1" applyFill="1" applyBorder="1" applyAlignment="1">
      <alignment horizontal="right" vertical="top" wrapText="1"/>
      <protection/>
    </xf>
    <xf numFmtId="165" fontId="0" fillId="19" borderId="13" xfId="54" applyNumberFormat="1" applyFont="1" applyFill="1" applyBorder="1" applyAlignment="1">
      <alignment horizontal="right" vertical="top" wrapText="1"/>
      <protection/>
    </xf>
    <xf numFmtId="4" fontId="0" fillId="19" borderId="13" xfId="0" applyNumberFormat="1" applyFont="1" applyFill="1" applyBorder="1" applyAlignment="1">
      <alignment horizontal="right" vertical="top" wrapText="1"/>
    </xf>
    <xf numFmtId="165" fontId="1" fillId="19" borderId="12" xfId="54" applyFill="1" applyBorder="1" applyAlignment="1">
      <alignment vertical="top"/>
      <protection/>
    </xf>
    <xf numFmtId="165" fontId="1" fillId="19" borderId="0" xfId="54" applyFill="1" applyAlignment="1">
      <alignment vertical="top"/>
      <protection/>
    </xf>
    <xf numFmtId="10" fontId="25" fillId="19" borderId="11" xfId="0" applyNumberFormat="1" applyFont="1" applyFill="1" applyBorder="1" applyAlignment="1">
      <alignment/>
    </xf>
    <xf numFmtId="43" fontId="0" fillId="19" borderId="0" xfId="0" applyNumberFormat="1" applyFill="1" applyAlignment="1">
      <alignment/>
    </xf>
    <xf numFmtId="4" fontId="25" fillId="19" borderId="42" xfId="0" applyNumberFormat="1" applyFont="1" applyFill="1" applyBorder="1" applyAlignment="1" applyProtection="1">
      <alignment horizontal="left" vertical="top"/>
      <protection/>
    </xf>
    <xf numFmtId="4" fontId="25" fillId="19" borderId="44" xfId="0" applyNumberFormat="1" applyFont="1" applyFill="1" applyBorder="1" applyAlignment="1" applyProtection="1">
      <alignment horizontal="left" vertical="top"/>
      <protection/>
    </xf>
    <xf numFmtId="3" fontId="18" fillId="21" borderId="13" xfId="44" applyNumberFormat="1" applyFont="1" applyFill="1" applyBorder="1" applyAlignment="1" applyProtection="1">
      <alignment horizontal="left" vertical="center" wrapText="1"/>
      <protection/>
    </xf>
    <xf numFmtId="167" fontId="18" fillId="21" borderId="13" xfId="54" applyNumberFormat="1" applyFont="1" applyFill="1" applyBorder="1" applyAlignment="1">
      <alignment horizontal="center" vertical="center" wrapText="1"/>
      <protection/>
    </xf>
    <xf numFmtId="10" fontId="18" fillId="21" borderId="13" xfId="52" applyNumberFormat="1" applyFont="1" applyFill="1" applyBorder="1" applyAlignment="1" applyProtection="1">
      <alignment vertical="top" wrapText="1"/>
      <protection/>
    </xf>
    <xf numFmtId="167" fontId="18" fillId="19" borderId="13" xfId="54" applyNumberFormat="1" applyFont="1" applyFill="1" applyBorder="1" applyAlignment="1">
      <alignment horizontal="center" vertical="top" wrapText="1"/>
      <protection/>
    </xf>
    <xf numFmtId="174" fontId="18" fillId="19" borderId="13" xfId="54" applyNumberFormat="1" applyFont="1" applyFill="1" applyBorder="1" applyAlignment="1">
      <alignment horizontal="center" vertical="top" wrapText="1"/>
      <protection/>
    </xf>
    <xf numFmtId="167" fontId="18" fillId="19" borderId="13" xfId="54" applyNumberFormat="1" applyFont="1" applyFill="1" applyBorder="1" applyAlignment="1">
      <alignment horizontal="left" vertical="top" wrapText="1"/>
      <protection/>
    </xf>
    <xf numFmtId="167" fontId="0" fillId="19" borderId="13" xfId="54" applyNumberFormat="1" applyFont="1" applyFill="1" applyBorder="1" applyAlignment="1">
      <alignment horizontal="center" vertical="top" wrapText="1"/>
      <protection/>
    </xf>
    <xf numFmtId="0" fontId="0" fillId="19" borderId="0" xfId="0" applyFont="1" applyFill="1" applyAlignment="1">
      <alignment/>
    </xf>
    <xf numFmtId="167" fontId="0" fillId="19" borderId="0" xfId="0" applyNumberFormat="1" applyFont="1" applyFill="1" applyAlignment="1">
      <alignment/>
    </xf>
    <xf numFmtId="0" fontId="18" fillId="21" borderId="13" xfId="0" applyFont="1" applyFill="1" applyBorder="1" applyAlignment="1">
      <alignment horizontal="left" vertical="center"/>
    </xf>
    <xf numFmtId="167" fontId="18" fillId="21" borderId="13" xfId="54" applyNumberFormat="1" applyFont="1" applyFill="1" applyBorder="1" applyAlignment="1">
      <alignment horizontal="center" vertical="center"/>
      <protection/>
    </xf>
    <xf numFmtId="0" fontId="18" fillId="21" borderId="13" xfId="0" applyFont="1" applyFill="1" applyBorder="1" applyAlignment="1">
      <alignment vertical="top"/>
    </xf>
    <xf numFmtId="167" fontId="18" fillId="19" borderId="13" xfId="54" applyNumberFormat="1" applyFont="1" applyFill="1" applyBorder="1" applyAlignment="1">
      <alignment horizontal="center" vertical="top"/>
      <protection/>
    </xf>
    <xf numFmtId="174" fontId="18" fillId="19" borderId="13" xfId="54" applyNumberFormat="1" applyFont="1" applyFill="1" applyBorder="1" applyAlignment="1">
      <alignment horizontal="center" vertical="top"/>
      <protection/>
    </xf>
    <xf numFmtId="167" fontId="18" fillId="19" borderId="13" xfId="54" applyNumberFormat="1" applyFont="1" applyFill="1" applyBorder="1" applyAlignment="1">
      <alignment horizontal="left" vertical="top"/>
      <protection/>
    </xf>
    <xf numFmtId="167" fontId="0" fillId="19" borderId="13" xfId="54" applyNumberFormat="1" applyFont="1" applyFill="1" applyBorder="1" applyAlignment="1">
      <alignment horizontal="center" vertical="top"/>
      <protection/>
    </xf>
    <xf numFmtId="3" fontId="18" fillId="21" borderId="13" xfId="0" applyNumberFormat="1" applyFont="1" applyFill="1" applyBorder="1" applyAlignment="1">
      <alignment horizontal="left" vertical="center" wrapText="1"/>
    </xf>
    <xf numFmtId="1" fontId="18" fillId="21" borderId="13" xfId="54" applyNumberFormat="1" applyFont="1" applyFill="1" applyBorder="1" applyAlignment="1">
      <alignment horizontal="center" vertical="center"/>
      <protection/>
    </xf>
    <xf numFmtId="1" fontId="18" fillId="21" borderId="13" xfId="54" applyNumberFormat="1" applyFont="1" applyFill="1" applyBorder="1" applyAlignment="1">
      <alignment horizontal="left" vertical="center"/>
      <protection/>
    </xf>
    <xf numFmtId="1" fontId="18" fillId="21" borderId="13" xfId="54" applyNumberFormat="1" applyFont="1" applyFill="1" applyBorder="1" applyAlignment="1">
      <alignment horizontal="center" vertical="center" wrapText="1"/>
      <protection/>
    </xf>
    <xf numFmtId="167" fontId="18" fillId="22" borderId="13" xfId="54" applyNumberFormat="1" applyFont="1" applyFill="1" applyBorder="1" applyAlignment="1">
      <alignment horizontal="center" vertical="top" wrapText="1"/>
      <protection/>
    </xf>
    <xf numFmtId="3" fontId="18" fillId="22" borderId="13" xfId="44" applyNumberFormat="1" applyFont="1" applyFill="1" applyBorder="1" applyAlignment="1" applyProtection="1">
      <alignment horizontal="left" vertical="center" wrapText="1"/>
      <protection/>
    </xf>
    <xf numFmtId="0" fontId="18" fillId="22" borderId="13" xfId="0" applyFont="1" applyFill="1" applyBorder="1" applyAlignment="1">
      <alignment horizontal="left" vertical="center" wrapText="1"/>
    </xf>
    <xf numFmtId="167" fontId="18" fillId="22" borderId="13" xfId="54" applyNumberFormat="1" applyFont="1" applyFill="1" applyBorder="1" applyAlignment="1">
      <alignment horizontal="center" vertical="center" wrapText="1"/>
      <protection/>
    </xf>
    <xf numFmtId="10" fontId="18" fillId="22" borderId="13" xfId="52" applyNumberFormat="1" applyFont="1" applyFill="1" applyBorder="1" applyAlignment="1" applyProtection="1">
      <alignment vertical="top" wrapText="1"/>
      <protection/>
    </xf>
    <xf numFmtId="174" fontId="18" fillId="22" borderId="13" xfId="54" applyNumberFormat="1" applyFont="1" applyFill="1" applyBorder="1" applyAlignment="1">
      <alignment horizontal="center" vertical="top" wrapText="1"/>
      <protection/>
    </xf>
    <xf numFmtId="167" fontId="18" fillId="22" borderId="13" xfId="54" applyNumberFormat="1" applyFont="1" applyFill="1" applyBorder="1" applyAlignment="1">
      <alignment horizontal="left" vertical="top" wrapText="1"/>
      <protection/>
    </xf>
    <xf numFmtId="10" fontId="0" fillId="22" borderId="13" xfId="52" applyNumberFormat="1" applyFont="1" applyFill="1" applyBorder="1" applyAlignment="1">
      <alignment horizontal="center" vertical="top" wrapText="1"/>
    </xf>
    <xf numFmtId="167" fontId="0" fillId="22" borderId="13" xfId="54" applyNumberFormat="1" applyFont="1" applyFill="1" applyBorder="1" applyAlignment="1">
      <alignment horizontal="center" vertical="top" wrapText="1"/>
      <protection/>
    </xf>
    <xf numFmtId="0" fontId="0" fillId="22" borderId="0" xfId="0" applyFont="1" applyFill="1" applyAlignment="1">
      <alignment/>
    </xf>
    <xf numFmtId="167" fontId="0" fillId="22" borderId="0" xfId="0" applyNumberFormat="1" applyFont="1" applyFill="1" applyAlignment="1">
      <alignment/>
    </xf>
    <xf numFmtId="3" fontId="18" fillId="2" borderId="13" xfId="44" applyNumberFormat="1" applyFont="1" applyFill="1" applyBorder="1" applyAlignment="1" applyProtection="1">
      <alignment horizontal="left" vertical="center" wrapText="1"/>
      <protection/>
    </xf>
    <xf numFmtId="3" fontId="18" fillId="2" borderId="13" xfId="0" applyNumberFormat="1" applyFont="1" applyFill="1" applyBorder="1" applyAlignment="1">
      <alignment horizontal="left" vertical="center" wrapText="1"/>
    </xf>
    <xf numFmtId="167" fontId="18" fillId="2" borderId="13" xfId="54" applyNumberFormat="1" applyFont="1" applyFill="1" applyBorder="1" applyAlignment="1">
      <alignment horizontal="center" vertical="center" wrapText="1"/>
      <protection/>
    </xf>
    <xf numFmtId="10" fontId="18" fillId="2" borderId="13" xfId="52" applyNumberFormat="1" applyFont="1" applyFill="1" applyBorder="1" applyAlignment="1" applyProtection="1">
      <alignment vertical="top" wrapText="1"/>
      <protection/>
    </xf>
    <xf numFmtId="0" fontId="0" fillId="22" borderId="13" xfId="0" applyFont="1" applyFill="1" applyBorder="1" applyAlignment="1">
      <alignment/>
    </xf>
    <xf numFmtId="0" fontId="18" fillId="2" borderId="13" xfId="0" applyFont="1" applyFill="1" applyBorder="1" applyAlignment="1">
      <alignment horizontal="left" vertical="center" wrapText="1"/>
    </xf>
    <xf numFmtId="3" fontId="18" fillId="2" borderId="13" xfId="0" applyNumberFormat="1" applyFont="1" applyFill="1" applyBorder="1" applyAlignment="1">
      <alignment horizontal="left" vertical="center"/>
    </xf>
    <xf numFmtId="167" fontId="18" fillId="22" borderId="13" xfId="54" applyNumberFormat="1" applyFont="1" applyFill="1" applyBorder="1" applyAlignment="1">
      <alignment horizontal="center" vertical="top"/>
      <protection/>
    </xf>
    <xf numFmtId="167" fontId="0" fillId="22" borderId="13" xfId="54" applyNumberFormat="1" applyFont="1" applyFill="1" applyBorder="1" applyAlignment="1">
      <alignment horizontal="center" vertical="top"/>
      <protection/>
    </xf>
    <xf numFmtId="174" fontId="0" fillId="22" borderId="13" xfId="54" applyNumberFormat="1" applyFont="1" applyFill="1" applyBorder="1" applyAlignment="1">
      <alignment horizontal="center" vertical="top"/>
      <protection/>
    </xf>
    <xf numFmtId="167" fontId="0" fillId="22" borderId="13" xfId="54" applyNumberFormat="1" applyFont="1" applyFill="1" applyBorder="1" applyAlignment="1">
      <alignment horizontal="left" vertical="top"/>
      <protection/>
    </xf>
    <xf numFmtId="1" fontId="18" fillId="2" borderId="13" xfId="54" applyNumberFormat="1" applyFont="1" applyFill="1" applyBorder="1" applyAlignment="1">
      <alignment horizontal="left" vertical="center" wrapText="1"/>
      <protection/>
    </xf>
    <xf numFmtId="10" fontId="19" fillId="23" borderId="45" xfId="52" applyNumberFormat="1" applyFont="1" applyFill="1" applyBorder="1" applyAlignment="1" applyProtection="1">
      <alignment vertical="top" wrapText="1"/>
      <protection/>
    </xf>
    <xf numFmtId="1" fontId="19" fillId="21" borderId="46" xfId="54" applyNumberFormat="1" applyFont="1" applyFill="1" applyBorder="1" applyAlignment="1">
      <alignment vertical="top"/>
      <protection/>
    </xf>
    <xf numFmtId="168" fontId="19" fillId="21" borderId="47" xfId="54" applyNumberFormat="1" applyFont="1" applyFill="1" applyBorder="1" applyAlignment="1">
      <alignment vertical="top"/>
      <protection/>
    </xf>
    <xf numFmtId="167" fontId="19" fillId="21" borderId="48" xfId="54" applyNumberFormat="1" applyFont="1" applyFill="1" applyBorder="1" applyAlignment="1">
      <alignment vertical="top"/>
      <protection/>
    </xf>
    <xf numFmtId="3" fontId="18" fillId="19" borderId="13" xfId="44" applyNumberFormat="1" applyFont="1" applyFill="1" applyBorder="1" applyAlignment="1">
      <alignment horizontal="left" vertical="top" wrapText="1"/>
      <protection/>
    </xf>
    <xf numFmtId="0" fontId="11" fillId="19" borderId="0" xfId="44" applyFont="1" applyFill="1">
      <alignment/>
      <protection/>
    </xf>
    <xf numFmtId="0" fontId="1" fillId="19" borderId="0" xfId="44" applyFill="1" applyBorder="1">
      <alignment/>
      <protection/>
    </xf>
    <xf numFmtId="0" fontId="18" fillId="19" borderId="0" xfId="44" applyFont="1" applyFill="1" applyBorder="1" applyAlignment="1">
      <alignment horizontal="right" wrapText="1"/>
      <protection/>
    </xf>
    <xf numFmtId="4" fontId="18" fillId="19" borderId="0" xfId="44" applyNumberFormat="1" applyFont="1" applyFill="1" applyBorder="1" applyAlignment="1">
      <alignment horizontal="right" wrapText="1"/>
      <protection/>
    </xf>
    <xf numFmtId="0" fontId="19" fillId="20" borderId="49" xfId="44" applyFont="1" applyFill="1" applyBorder="1" applyAlignment="1">
      <alignment horizontal="center" vertical="top" wrapText="1"/>
      <protection/>
    </xf>
    <xf numFmtId="0" fontId="19" fillId="20" borderId="50" xfId="44" applyFont="1" applyFill="1" applyBorder="1" applyAlignment="1">
      <alignment horizontal="center" vertical="top" wrapText="1"/>
      <protection/>
    </xf>
    <xf numFmtId="4" fontId="19" fillId="20" borderId="50" xfId="44" applyNumberFormat="1" applyFont="1" applyFill="1" applyBorder="1" applyAlignment="1">
      <alignment horizontal="center" vertical="top" wrapText="1"/>
      <protection/>
    </xf>
    <xf numFmtId="4" fontId="19" fillId="20" borderId="51" xfId="44" applyNumberFormat="1" applyFont="1" applyFill="1" applyBorder="1" applyAlignment="1">
      <alignment horizontal="center" vertical="top" wrapText="1"/>
      <protection/>
    </xf>
    <xf numFmtId="0" fontId="1" fillId="19" borderId="0" xfId="44" applyFont="1" applyFill="1">
      <alignment/>
      <protection/>
    </xf>
    <xf numFmtId="3" fontId="19" fillId="23" borderId="13" xfId="44" applyNumberFormat="1" applyFont="1" applyFill="1" applyBorder="1" applyAlignment="1">
      <alignment horizontal="left" vertical="top" wrapText="1"/>
      <protection/>
    </xf>
    <xf numFmtId="0" fontId="19" fillId="23" borderId="13" xfId="44" applyFont="1" applyFill="1" applyBorder="1" applyAlignment="1">
      <alignment horizontal="left" vertical="top" wrapText="1"/>
      <protection/>
    </xf>
    <xf numFmtId="4" fontId="19" fillId="23" borderId="13" xfId="44" applyNumberFormat="1" applyFont="1" applyFill="1" applyBorder="1" applyAlignment="1">
      <alignment vertical="top" wrapText="1"/>
      <protection/>
    </xf>
    <xf numFmtId="165" fontId="1" fillId="19" borderId="0" xfId="54" applyFill="1">
      <alignment/>
      <protection/>
    </xf>
    <xf numFmtId="0" fontId="18" fillId="19" borderId="13" xfId="0" applyFont="1" applyFill="1" applyBorder="1" applyAlignment="1">
      <alignment horizontal="left" vertical="top" wrapText="1"/>
    </xf>
    <xf numFmtId="0" fontId="18" fillId="19" borderId="13" xfId="44" applyNumberFormat="1" applyFont="1" applyFill="1" applyBorder="1" applyAlignment="1" applyProtection="1">
      <alignment horizontal="left" vertical="top" wrapText="1"/>
      <protection/>
    </xf>
    <xf numFmtId="0" fontId="18" fillId="19" borderId="13" xfId="44" applyNumberFormat="1" applyFont="1" applyFill="1" applyBorder="1" applyAlignment="1" applyProtection="1">
      <alignment horizontal="center" vertical="top" wrapText="1"/>
      <protection/>
    </xf>
    <xf numFmtId="0" fontId="0" fillId="19" borderId="13" xfId="44" applyFont="1" applyFill="1" applyBorder="1" applyAlignment="1" applyProtection="1">
      <alignment horizontal="left" vertical="top" wrapText="1"/>
      <protection/>
    </xf>
    <xf numFmtId="3" fontId="0" fillId="19" borderId="13" xfId="44" applyNumberFormat="1" applyFont="1" applyFill="1" applyBorder="1" applyAlignment="1">
      <alignment horizontal="left" vertical="top" wrapText="1"/>
      <protection/>
    </xf>
    <xf numFmtId="0" fontId="0" fillId="19" borderId="13" xfId="44" applyFont="1" applyFill="1" applyBorder="1" applyAlignment="1">
      <alignment horizontal="left" vertical="top" wrapText="1"/>
      <protection/>
    </xf>
    <xf numFmtId="0" fontId="0" fillId="19" borderId="13" xfId="44" applyFont="1" applyFill="1" applyBorder="1" applyAlignment="1">
      <alignment horizontal="center" vertical="top" wrapText="1"/>
      <protection/>
    </xf>
    <xf numFmtId="0" fontId="21" fillId="19" borderId="0" xfId="44" applyFont="1" applyFill="1">
      <alignment/>
      <protection/>
    </xf>
    <xf numFmtId="3" fontId="20" fillId="23" borderId="13" xfId="44" applyNumberFormat="1" applyFont="1" applyFill="1" applyBorder="1" applyAlignment="1">
      <alignment horizontal="left" vertical="top" wrapText="1"/>
      <protection/>
    </xf>
    <xf numFmtId="0" fontId="20" fillId="23" borderId="13" xfId="44" applyFont="1" applyFill="1" applyBorder="1" applyAlignment="1">
      <alignment horizontal="left" vertical="top" wrapText="1"/>
      <protection/>
    </xf>
    <xf numFmtId="4" fontId="20" fillId="23" borderId="13" xfId="44" applyNumberFormat="1" applyFont="1" applyFill="1" applyBorder="1" applyAlignment="1">
      <alignment vertical="top" wrapText="1"/>
      <protection/>
    </xf>
    <xf numFmtId="0" fontId="0" fillId="19" borderId="13" xfId="44" applyNumberFormat="1" applyFont="1" applyFill="1" applyBorder="1" applyAlignment="1" applyProtection="1">
      <alignment horizontal="left" vertical="top" wrapText="1"/>
      <protection/>
    </xf>
    <xf numFmtId="0" fontId="0" fillId="19" borderId="13" xfId="44" applyNumberFormat="1" applyFont="1" applyFill="1" applyBorder="1" applyAlignment="1" applyProtection="1">
      <alignment horizontal="center" vertical="top" wrapText="1"/>
      <protection/>
    </xf>
    <xf numFmtId="0" fontId="18" fillId="19" borderId="13" xfId="0" applyFont="1" applyFill="1" applyBorder="1" applyAlignment="1">
      <alignment horizontal="center" vertical="top" wrapText="1"/>
    </xf>
    <xf numFmtId="166" fontId="0" fillId="19" borderId="13" xfId="44" applyNumberFormat="1" applyFont="1" applyFill="1" applyBorder="1" applyAlignment="1">
      <alignment horizontal="right" vertical="top" wrapText="1"/>
      <protection/>
    </xf>
    <xf numFmtId="166" fontId="18" fillId="19" borderId="13" xfId="44" applyNumberFormat="1" applyFont="1" applyFill="1" applyBorder="1" applyAlignment="1">
      <alignment horizontal="right" vertical="top" wrapText="1"/>
      <protection/>
    </xf>
    <xf numFmtId="0" fontId="11" fillId="19" borderId="0" xfId="44" applyFont="1" applyFill="1">
      <alignment/>
      <protection/>
    </xf>
    <xf numFmtId="0" fontId="18" fillId="19" borderId="13" xfId="44" applyFont="1" applyFill="1" applyBorder="1" applyAlignment="1">
      <alignment horizontal="right" vertical="top" wrapText="1"/>
      <protection/>
    </xf>
    <xf numFmtId="3" fontId="19" fillId="23" borderId="13" xfId="44" applyNumberFormat="1" applyFont="1" applyFill="1" applyBorder="1" applyAlignment="1" applyProtection="1">
      <alignment horizontal="left" vertical="top" wrapText="1"/>
      <protection/>
    </xf>
    <xf numFmtId="3" fontId="18" fillId="19" borderId="13" xfId="44" applyNumberFormat="1" applyFont="1" applyFill="1" applyBorder="1" applyAlignment="1" applyProtection="1">
      <alignment horizontal="left" vertical="top" wrapText="1"/>
      <protection/>
    </xf>
    <xf numFmtId="0" fontId="18" fillId="19" borderId="13" xfId="44" applyNumberFormat="1" applyFont="1" applyFill="1" applyBorder="1" applyAlignment="1">
      <alignment horizontal="left" vertical="top" wrapText="1"/>
      <protection/>
    </xf>
    <xf numFmtId="0" fontId="18" fillId="19" borderId="13" xfId="44" applyNumberFormat="1" applyFont="1" applyFill="1" applyBorder="1" applyAlignment="1">
      <alignment horizontal="center" vertical="top" wrapText="1"/>
      <protection/>
    </xf>
    <xf numFmtId="3" fontId="0" fillId="19" borderId="13" xfId="44" applyNumberFormat="1" applyFont="1" applyFill="1" applyBorder="1" applyAlignment="1" applyProtection="1">
      <alignment horizontal="left" vertical="top" wrapText="1"/>
      <protection/>
    </xf>
    <xf numFmtId="0" fontId="0" fillId="19" borderId="13" xfId="44" applyNumberFormat="1" applyFont="1" applyFill="1" applyBorder="1" applyAlignment="1">
      <alignment horizontal="left" vertical="top" wrapText="1"/>
      <protection/>
    </xf>
    <xf numFmtId="0" fontId="0" fillId="19" borderId="13" xfId="44" applyNumberFormat="1" applyFont="1" applyFill="1" applyBorder="1" applyAlignment="1">
      <alignment horizontal="center" vertical="top" wrapText="1"/>
      <protection/>
    </xf>
    <xf numFmtId="0" fontId="0" fillId="19" borderId="13" xfId="0" applyFont="1" applyFill="1" applyBorder="1" applyAlignment="1">
      <alignment horizontal="left" vertical="top" wrapText="1"/>
    </xf>
    <xf numFmtId="0" fontId="0" fillId="19" borderId="13" xfId="0" applyFont="1" applyFill="1" applyBorder="1" applyAlignment="1">
      <alignment horizontal="center" vertical="top" wrapText="1"/>
    </xf>
    <xf numFmtId="165" fontId="1" fillId="19" borderId="13" xfId="54" applyFont="1" applyFill="1" applyBorder="1">
      <alignment/>
      <protection/>
    </xf>
    <xf numFmtId="165" fontId="1" fillId="19" borderId="13" xfId="54" applyFill="1" applyBorder="1" applyAlignment="1">
      <alignment vertical="top"/>
      <protection/>
    </xf>
    <xf numFmtId="0" fontId="18" fillId="19" borderId="13" xfId="0" applyFont="1" applyFill="1" applyBorder="1" applyAlignment="1">
      <alignment vertical="center" wrapText="1"/>
    </xf>
    <xf numFmtId="3" fontId="20" fillId="23" borderId="13" xfId="44" applyNumberFormat="1" applyFont="1" applyFill="1" applyBorder="1" applyAlignment="1" applyProtection="1">
      <alignment horizontal="left" vertical="top" wrapText="1"/>
      <protection/>
    </xf>
    <xf numFmtId="4" fontId="19" fillId="21" borderId="13" xfId="44" applyNumberFormat="1" applyFont="1" applyFill="1" applyBorder="1" applyAlignment="1">
      <alignment horizontal="right" vertical="top"/>
      <protection/>
    </xf>
    <xf numFmtId="4" fontId="1" fillId="19" borderId="0" xfId="44" applyNumberFormat="1" applyFill="1">
      <alignment/>
      <protection/>
    </xf>
    <xf numFmtId="4" fontId="11" fillId="19" borderId="0" xfId="44" applyNumberFormat="1" applyFont="1" applyFill="1">
      <alignment/>
      <protection/>
    </xf>
    <xf numFmtId="0" fontId="18" fillId="19" borderId="0" xfId="44" applyFont="1" applyFill="1">
      <alignment/>
      <protection/>
    </xf>
    <xf numFmtId="4" fontId="18" fillId="19" borderId="0" xfId="44" applyNumberFormat="1" applyFont="1" applyFill="1">
      <alignment/>
      <protection/>
    </xf>
    <xf numFmtId="0" fontId="1" fillId="19" borderId="0" xfId="44" applyFont="1" applyFill="1" quotePrefix="1">
      <alignment/>
      <protection/>
    </xf>
    <xf numFmtId="165" fontId="1" fillId="19" borderId="0" xfId="54" applyFont="1" applyFill="1">
      <alignment/>
      <protection/>
    </xf>
    <xf numFmtId="0" fontId="21" fillId="19" borderId="0" xfId="44" applyFont="1" applyFill="1">
      <alignment/>
      <protection/>
    </xf>
    <xf numFmtId="10" fontId="1" fillId="19" borderId="0" xfId="44" applyNumberFormat="1" applyFill="1">
      <alignment/>
      <protection/>
    </xf>
    <xf numFmtId="4" fontId="0" fillId="19" borderId="0" xfId="0" applyNumberFormat="1" applyFill="1" applyAlignment="1">
      <alignment/>
    </xf>
    <xf numFmtId="4" fontId="25" fillId="19" borderId="10" xfId="0" applyNumberFormat="1" applyFont="1" applyFill="1" applyBorder="1" applyAlignment="1" applyProtection="1">
      <alignment vertical="top"/>
      <protection/>
    </xf>
    <xf numFmtId="4" fontId="25" fillId="19" borderId="11" xfId="0" applyNumberFormat="1" applyFont="1" applyFill="1" applyBorder="1" applyAlignment="1" applyProtection="1">
      <alignment vertical="top"/>
      <protection/>
    </xf>
    <xf numFmtId="4" fontId="25" fillId="19" borderId="12" xfId="0" applyNumberFormat="1" applyFont="1" applyFill="1" applyBorder="1" applyAlignment="1" applyProtection="1">
      <alignment vertical="top"/>
      <protection/>
    </xf>
    <xf numFmtId="4" fontId="25" fillId="19" borderId="43" xfId="0" applyNumberFormat="1" applyFont="1" applyFill="1" applyBorder="1" applyAlignment="1" applyProtection="1">
      <alignment horizontal="left"/>
      <protection/>
    </xf>
    <xf numFmtId="4" fontId="25" fillId="19" borderId="44" xfId="0" applyNumberFormat="1" applyFont="1" applyFill="1" applyBorder="1" applyAlignment="1" applyProtection="1">
      <alignment horizontal="left"/>
      <protection/>
    </xf>
    <xf numFmtId="3" fontId="19" fillId="10" borderId="52" xfId="44" applyNumberFormat="1" applyFont="1" applyFill="1" applyBorder="1" applyAlignment="1">
      <alignment horizontal="left" vertical="top" wrapText="1"/>
      <protection/>
    </xf>
    <xf numFmtId="0" fontId="19" fillId="10" borderId="52" xfId="44" applyFont="1" applyFill="1" applyBorder="1" applyAlignment="1">
      <alignment horizontal="left" vertical="top" wrapText="1"/>
      <protection/>
    </xf>
    <xf numFmtId="0" fontId="19" fillId="10" borderId="52" xfId="44" applyFont="1" applyFill="1" applyBorder="1" applyAlignment="1">
      <alignment horizontal="center" vertical="top" wrapText="1"/>
      <protection/>
    </xf>
    <xf numFmtId="179" fontId="19" fillId="10" borderId="52" xfId="44" applyNumberFormat="1" applyFont="1" applyFill="1" applyBorder="1" applyAlignment="1">
      <alignment horizontal="right" vertical="top" wrapText="1"/>
      <protection/>
    </xf>
    <xf numFmtId="4" fontId="19" fillId="10" borderId="52" xfId="44" applyNumberFormat="1" applyFont="1" applyFill="1" applyBorder="1" applyAlignment="1">
      <alignment horizontal="right" vertical="top" wrapText="1"/>
      <protection/>
    </xf>
    <xf numFmtId="4" fontId="19" fillId="10" borderId="52" xfId="44" applyNumberFormat="1" applyFont="1" applyFill="1" applyBorder="1" applyAlignment="1">
      <alignment horizontal="center" vertical="top" wrapText="1"/>
      <protection/>
    </xf>
    <xf numFmtId="3" fontId="19" fillId="10" borderId="53" xfId="54" applyNumberFormat="1" applyFont="1" applyFill="1" applyBorder="1" applyAlignment="1" applyProtection="1">
      <alignment horizontal="left" vertical="top" wrapText="1"/>
      <protection/>
    </xf>
    <xf numFmtId="4" fontId="19" fillId="10" borderId="53" xfId="44" applyNumberFormat="1" applyFont="1" applyFill="1" applyBorder="1" applyAlignment="1">
      <alignment vertical="top" wrapText="1"/>
      <protection/>
    </xf>
    <xf numFmtId="3" fontId="19" fillId="0" borderId="13" xfId="54" applyNumberFormat="1" applyFont="1" applyFill="1" applyBorder="1" applyAlignment="1" applyProtection="1">
      <alignment horizontal="left" vertical="top" wrapText="1"/>
      <protection/>
    </xf>
    <xf numFmtId="0" fontId="0" fillId="21" borderId="13" xfId="47" applyNumberFormat="1" applyFont="1" applyFill="1" applyBorder="1" applyAlignment="1" applyProtection="1">
      <alignment horizontal="left" vertical="center" wrapText="1"/>
      <protection/>
    </xf>
    <xf numFmtId="0" fontId="0" fillId="0" borderId="13" xfId="0" applyFont="1" applyBorder="1" applyAlignment="1">
      <alignment horizontal="center"/>
    </xf>
    <xf numFmtId="0" fontId="0" fillId="21" borderId="13" xfId="47" applyNumberFormat="1" applyFont="1" applyFill="1" applyBorder="1" applyAlignment="1" applyProtection="1">
      <alignment horizontal="center"/>
      <protection/>
    </xf>
    <xf numFmtId="165" fontId="32" fillId="0" borderId="13" xfId="54" applyFont="1" applyBorder="1">
      <alignment/>
      <protection/>
    </xf>
    <xf numFmtId="165" fontId="32" fillId="19" borderId="13" xfId="54" applyFont="1" applyFill="1" applyBorder="1">
      <alignment/>
      <protection/>
    </xf>
    <xf numFmtId="165" fontId="32" fillId="0" borderId="13" xfId="54" applyFont="1" applyBorder="1" applyAlignment="1">
      <alignment horizontal="center"/>
      <protection/>
    </xf>
    <xf numFmtId="3" fontId="19" fillId="10" borderId="15" xfId="54" applyNumberFormat="1" applyFont="1" applyFill="1" applyBorder="1" applyAlignment="1" applyProtection="1">
      <alignment horizontal="left" vertical="top" wrapText="1"/>
      <protection/>
    </xf>
    <xf numFmtId="2" fontId="19" fillId="10" borderId="15" xfId="44" applyNumberFormat="1" applyFont="1" applyFill="1" applyBorder="1" applyAlignment="1">
      <alignment vertical="top" wrapText="1"/>
      <protection/>
    </xf>
    <xf numFmtId="3" fontId="0" fillId="0" borderId="13" xfId="0" applyNumberFormat="1" applyFont="1" applyBorder="1" applyAlignment="1">
      <alignment horizontal="left"/>
    </xf>
    <xf numFmtId="0" fontId="0" fillId="21" borderId="13" xfId="47" applyNumberFormat="1" applyFont="1" applyFill="1" applyBorder="1" applyAlignment="1" applyProtection="1">
      <alignment horizontal="left" vertical="center"/>
      <protection/>
    </xf>
    <xf numFmtId="0" fontId="0" fillId="21" borderId="13" xfId="47" applyNumberFormat="1" applyFont="1" applyFill="1" applyBorder="1" applyAlignment="1" applyProtection="1">
      <alignment horizontal="center" vertical="center"/>
      <protection/>
    </xf>
    <xf numFmtId="4" fontId="19" fillId="10" borderId="15" xfId="54" applyNumberFormat="1" applyFont="1" applyFill="1" applyBorder="1" applyAlignment="1" applyProtection="1">
      <alignment horizontal="right" vertical="top" wrapText="1"/>
      <protection/>
    </xf>
    <xf numFmtId="4" fontId="0" fillId="0" borderId="0" xfId="0" applyNumberFormat="1" applyAlignment="1">
      <alignment/>
    </xf>
    <xf numFmtId="3" fontId="0" fillId="0" borderId="52" xfId="0" applyNumberFormat="1" applyFont="1" applyBorder="1" applyAlignment="1">
      <alignment horizontal="left"/>
    </xf>
    <xf numFmtId="0" fontId="0" fillId="21" borderId="54" xfId="47" applyNumberFormat="1" applyFont="1" applyFill="1" applyBorder="1" applyAlignment="1" applyProtection="1">
      <alignment horizontal="left" vertical="center"/>
      <protection/>
    </xf>
    <xf numFmtId="0" fontId="0" fillId="21" borderId="54" xfId="47" applyNumberFormat="1" applyFont="1" applyFill="1" applyBorder="1" applyAlignment="1" applyProtection="1">
      <alignment horizontal="left" vertical="center" wrapText="1"/>
      <protection/>
    </xf>
    <xf numFmtId="0" fontId="0" fillId="21" borderId="52" xfId="47" applyNumberFormat="1" applyFont="1" applyFill="1" applyBorder="1" applyAlignment="1" applyProtection="1">
      <alignment horizontal="left" vertical="center" wrapText="1"/>
      <protection/>
    </xf>
    <xf numFmtId="0" fontId="0" fillId="0" borderId="54" xfId="0" applyFont="1" applyBorder="1" applyAlignment="1">
      <alignment horizontal="center"/>
    </xf>
    <xf numFmtId="2" fontId="0" fillId="21" borderId="13" xfId="47" applyNumberFormat="1" applyFont="1" applyFill="1" applyBorder="1" applyAlignment="1" applyProtection="1">
      <alignment horizontal="center" vertical="center"/>
      <protection/>
    </xf>
    <xf numFmtId="4" fontId="0" fillId="21" borderId="13" xfId="47" applyNumberFormat="1" applyFont="1" applyFill="1" applyBorder="1" applyAlignment="1" applyProtection="1">
      <alignment horizontal="center" vertical="center"/>
      <protection/>
    </xf>
    <xf numFmtId="4" fontId="0" fillId="21" borderId="13" xfId="47" applyNumberFormat="1" applyFont="1" applyFill="1" applyBorder="1" applyAlignment="1" applyProtection="1">
      <alignment horizontal="right" vertical="center"/>
      <protection/>
    </xf>
    <xf numFmtId="4" fontId="19" fillId="0" borderId="13" xfId="44" applyNumberFormat="1" applyFont="1" applyBorder="1" applyAlignment="1">
      <alignment horizontal="right" vertical="top" wrapText="1"/>
      <protection/>
    </xf>
    <xf numFmtId="0" fontId="0" fillId="21" borderId="52" xfId="47" applyNumberFormat="1" applyFont="1" applyFill="1" applyBorder="1" applyAlignment="1" applyProtection="1">
      <alignment horizontal="left" vertical="center"/>
      <protection/>
    </xf>
    <xf numFmtId="4" fontId="19" fillId="10" borderId="55" xfId="54" applyNumberFormat="1" applyFont="1" applyFill="1" applyBorder="1" applyAlignment="1" applyProtection="1">
      <alignment horizontal="right" vertical="top" wrapText="1"/>
      <protection/>
    </xf>
    <xf numFmtId="0" fontId="32" fillId="0" borderId="0" xfId="44" applyFont="1">
      <alignment/>
      <protection/>
    </xf>
    <xf numFmtId="0" fontId="18" fillId="0" borderId="0" xfId="44" applyFont="1">
      <alignment/>
      <protection/>
    </xf>
    <xf numFmtId="4" fontId="18" fillId="0" borderId="0" xfId="44" applyNumberFormat="1" applyFont="1">
      <alignment/>
      <protection/>
    </xf>
    <xf numFmtId="0" fontId="0" fillId="0" borderId="0" xfId="0" applyFont="1" applyAlignment="1">
      <alignment/>
    </xf>
    <xf numFmtId="0" fontId="1" fillId="0" borderId="0" xfId="44">
      <alignment/>
      <protection/>
    </xf>
    <xf numFmtId="0" fontId="18" fillId="21" borderId="13" xfId="0" applyFont="1" applyFill="1" applyBorder="1" applyAlignment="1">
      <alignment horizontal="left" vertical="center" wrapText="1"/>
    </xf>
    <xf numFmtId="1" fontId="19" fillId="21" borderId="56" xfId="54" applyNumberFormat="1" applyFont="1" applyFill="1" applyBorder="1" applyAlignment="1">
      <alignment vertical="top"/>
      <protection/>
    </xf>
    <xf numFmtId="168" fontId="19" fillId="21" borderId="57" xfId="54" applyNumberFormat="1" applyFont="1" applyFill="1" applyBorder="1" applyAlignment="1">
      <alignment vertical="top"/>
      <protection/>
    </xf>
    <xf numFmtId="167" fontId="19" fillId="21" borderId="45" xfId="54" applyNumberFormat="1" applyFont="1" applyFill="1" applyBorder="1" applyAlignment="1">
      <alignment vertical="top"/>
      <protection/>
    </xf>
    <xf numFmtId="10" fontId="19" fillId="23" borderId="32" xfId="52" applyNumberFormat="1" applyFont="1" applyFill="1" applyBorder="1" applyAlignment="1" applyProtection="1">
      <alignment vertical="top" wrapText="1"/>
      <protection/>
    </xf>
    <xf numFmtId="168" fontId="27" fillId="19" borderId="0" xfId="0" applyNumberFormat="1" applyFont="1" applyFill="1" applyAlignment="1">
      <alignment/>
    </xf>
    <xf numFmtId="168" fontId="0" fillId="19" borderId="0" xfId="0" applyNumberFormat="1" applyFill="1" applyAlignment="1">
      <alignment/>
    </xf>
    <xf numFmtId="4" fontId="25" fillId="19" borderId="11" xfId="0" applyNumberFormat="1" applyFont="1" applyFill="1" applyBorder="1" applyAlignment="1" applyProtection="1">
      <alignment horizontal="left" vertical="top"/>
      <protection/>
    </xf>
    <xf numFmtId="4" fontId="25" fillId="19" borderId="12" xfId="0" applyNumberFormat="1" applyFont="1" applyFill="1" applyBorder="1" applyAlignment="1" applyProtection="1">
      <alignment horizontal="left" vertical="top"/>
      <protection/>
    </xf>
    <xf numFmtId="0" fontId="19" fillId="23" borderId="13" xfId="44" applyFont="1" applyFill="1" applyBorder="1" applyAlignment="1">
      <alignment horizontal="left" vertical="top" wrapText="1"/>
      <protection/>
    </xf>
    <xf numFmtId="0" fontId="19" fillId="21" borderId="13" xfId="44" applyFont="1" applyFill="1" applyBorder="1" applyAlignment="1">
      <alignment horizontal="right" vertical="top"/>
      <protection/>
    </xf>
    <xf numFmtId="0" fontId="22" fillId="19" borderId="0" xfId="0" applyFont="1" applyFill="1" applyBorder="1" applyAlignment="1" applyProtection="1">
      <alignment horizontal="center"/>
      <protection/>
    </xf>
    <xf numFmtId="4" fontId="23" fillId="19" borderId="0" xfId="0" applyNumberFormat="1" applyFont="1" applyFill="1" applyBorder="1" applyAlignment="1" applyProtection="1">
      <alignment horizontal="center" vertical="top"/>
      <protection/>
    </xf>
    <xf numFmtId="4" fontId="22" fillId="19" borderId="10" xfId="0" applyNumberFormat="1" applyFont="1" applyFill="1" applyBorder="1" applyAlignment="1" applyProtection="1">
      <alignment horizontal="center" vertical="top"/>
      <protection/>
    </xf>
    <xf numFmtId="4" fontId="22" fillId="19" borderId="11" xfId="0" applyNumberFormat="1" applyFont="1" applyFill="1" applyBorder="1" applyAlignment="1" applyProtection="1">
      <alignment horizontal="center" vertical="top"/>
      <protection/>
    </xf>
    <xf numFmtId="4" fontId="22" fillId="19" borderId="12" xfId="0" applyNumberFormat="1" applyFont="1" applyFill="1" applyBorder="1" applyAlignment="1" applyProtection="1">
      <alignment horizontal="center" vertical="top"/>
      <protection/>
    </xf>
    <xf numFmtId="0" fontId="20" fillId="23" borderId="13" xfId="44" applyFont="1" applyFill="1" applyBorder="1" applyAlignment="1">
      <alignment horizontal="left" vertical="top" wrapText="1"/>
      <protection/>
    </xf>
    <xf numFmtId="4" fontId="25" fillId="19" borderId="10" xfId="0" applyNumberFormat="1" applyFont="1" applyFill="1" applyBorder="1" applyAlignment="1" applyProtection="1">
      <alignment horizontal="left"/>
      <protection/>
    </xf>
    <xf numFmtId="0" fontId="1" fillId="19" borderId="0" xfId="44" applyFont="1" applyFill="1" applyAlignment="1" quotePrefix="1">
      <alignment horizontal="left" wrapText="1"/>
      <protection/>
    </xf>
    <xf numFmtId="4" fontId="25" fillId="19" borderId="42" xfId="0" applyNumberFormat="1" applyFont="1" applyFill="1" applyBorder="1" applyAlignment="1" applyProtection="1">
      <alignment horizontal="center" vertical="top"/>
      <protection/>
    </xf>
    <xf numFmtId="4" fontId="25" fillId="19" borderId="44" xfId="0" applyNumberFormat="1" applyFont="1" applyFill="1" applyBorder="1" applyAlignment="1" applyProtection="1">
      <alignment horizontal="center" vertical="top"/>
      <protection/>
    </xf>
    <xf numFmtId="4" fontId="24" fillId="19" borderId="10" xfId="0" applyNumberFormat="1" applyFont="1" applyFill="1" applyBorder="1" applyAlignment="1" applyProtection="1">
      <alignment horizontal="left" vertical="top"/>
      <protection/>
    </xf>
    <xf numFmtId="4" fontId="24" fillId="19" borderId="11" xfId="0" applyNumberFormat="1" applyFont="1" applyFill="1" applyBorder="1" applyAlignment="1" applyProtection="1">
      <alignment horizontal="left" vertical="top"/>
      <protection/>
    </xf>
    <xf numFmtId="4" fontId="24" fillId="19" borderId="12" xfId="0" applyNumberFormat="1" applyFont="1" applyFill="1" applyBorder="1" applyAlignment="1" applyProtection="1">
      <alignment horizontal="left" vertical="top"/>
      <protection/>
    </xf>
    <xf numFmtId="4" fontId="25" fillId="19" borderId="10" xfId="0" applyNumberFormat="1" applyFont="1" applyFill="1" applyBorder="1" applyAlignment="1" applyProtection="1">
      <alignment horizontal="left" vertical="top"/>
      <protection/>
    </xf>
    <xf numFmtId="4" fontId="25" fillId="19" borderId="11" xfId="0" applyNumberFormat="1" applyFont="1" applyFill="1" applyBorder="1" applyAlignment="1" applyProtection="1">
      <alignment horizontal="left"/>
      <protection/>
    </xf>
    <xf numFmtId="4" fontId="25" fillId="19" borderId="12" xfId="0" applyNumberFormat="1" applyFont="1" applyFill="1" applyBorder="1" applyAlignment="1" applyProtection="1">
      <alignment horizontal="left"/>
      <protection/>
    </xf>
    <xf numFmtId="168" fontId="19" fillId="21" borderId="32" xfId="54" applyNumberFormat="1" applyFont="1" applyFill="1" applyBorder="1" applyAlignment="1">
      <alignment horizontal="center" vertical="top"/>
      <protection/>
    </xf>
    <xf numFmtId="4" fontId="19" fillId="20" borderId="22" xfId="0" applyNumberFormat="1" applyFont="1" applyFill="1" applyBorder="1" applyAlignment="1">
      <alignment horizontal="center" vertical="top"/>
    </xf>
    <xf numFmtId="4" fontId="20" fillId="20" borderId="22" xfId="0" applyNumberFormat="1" applyFont="1" applyFill="1" applyBorder="1" applyAlignment="1">
      <alignment horizontal="center" vertical="top"/>
    </xf>
    <xf numFmtId="172" fontId="25" fillId="19" borderId="11" xfId="0" applyNumberFormat="1" applyFont="1" applyFill="1" applyBorder="1" applyAlignment="1">
      <alignment horizontal="center"/>
    </xf>
    <xf numFmtId="172" fontId="25" fillId="19" borderId="12" xfId="0" applyNumberFormat="1" applyFont="1" applyFill="1" applyBorder="1" applyAlignment="1">
      <alignment horizontal="center"/>
    </xf>
    <xf numFmtId="172" fontId="25" fillId="0" borderId="11" xfId="0" applyNumberFormat="1" applyFont="1" applyFill="1" applyBorder="1" applyAlignment="1" applyProtection="1">
      <alignment horizontal="center"/>
      <protection/>
    </xf>
    <xf numFmtId="172" fontId="25" fillId="0" borderId="12" xfId="0" applyNumberFormat="1" applyFont="1" applyFill="1" applyBorder="1" applyAlignment="1" applyProtection="1">
      <alignment horizontal="center"/>
      <protection/>
    </xf>
    <xf numFmtId="165" fontId="0" fillId="0" borderId="40" xfId="54" applyFont="1" applyFill="1" applyBorder="1" applyAlignment="1">
      <alignment horizontal="left"/>
      <protection/>
    </xf>
    <xf numFmtId="0" fontId="0" fillId="0" borderId="36" xfId="0" applyFill="1" applyBorder="1" applyAlignment="1">
      <alignment horizontal="left" wrapText="1"/>
    </xf>
    <xf numFmtId="0" fontId="0" fillId="0" borderId="0" xfId="0" applyFill="1" applyBorder="1" applyAlignment="1">
      <alignment horizontal="left" wrapText="1"/>
    </xf>
    <xf numFmtId="0" fontId="0" fillId="0" borderId="37" xfId="0" applyFill="1" applyBorder="1" applyAlignment="1">
      <alignment horizontal="left" wrapText="1"/>
    </xf>
    <xf numFmtId="4" fontId="25" fillId="0" borderId="58" xfId="0" applyNumberFormat="1" applyFont="1" applyFill="1" applyBorder="1" applyAlignment="1" applyProtection="1">
      <alignment horizontal="center" vertical="top"/>
      <protection/>
    </xf>
    <xf numFmtId="4" fontId="25" fillId="0" borderId="42" xfId="0" applyNumberFormat="1" applyFont="1" applyFill="1" applyBorder="1" applyAlignment="1" applyProtection="1">
      <alignment horizontal="center" vertical="top"/>
      <protection/>
    </xf>
    <xf numFmtId="4" fontId="25" fillId="0" borderId="43" xfId="0" applyNumberFormat="1" applyFont="1" applyFill="1" applyBorder="1" applyAlignment="1" applyProtection="1">
      <alignment horizontal="center" vertical="top"/>
      <protection/>
    </xf>
    <xf numFmtId="4" fontId="25" fillId="0" borderId="44" xfId="0" applyNumberFormat="1" applyFont="1" applyFill="1" applyBorder="1" applyAlignment="1" applyProtection="1">
      <alignment horizontal="center" vertical="top"/>
      <protection/>
    </xf>
    <xf numFmtId="0" fontId="22" fillId="19" borderId="0" xfId="0" applyFont="1" applyFill="1" applyAlignment="1" applyProtection="1">
      <alignment horizontal="center"/>
      <protection/>
    </xf>
    <xf numFmtId="4" fontId="23" fillId="19" borderId="0" xfId="0" applyNumberFormat="1" applyFont="1" applyFill="1" applyAlignment="1" applyProtection="1">
      <alignment horizontal="center" vertical="top"/>
      <protection/>
    </xf>
    <xf numFmtId="4" fontId="23" fillId="19" borderId="11" xfId="0" applyNumberFormat="1" applyFont="1" applyFill="1" applyBorder="1" applyAlignment="1" applyProtection="1">
      <alignment horizontal="center" vertical="top"/>
      <protection/>
    </xf>
    <xf numFmtId="0" fontId="19" fillId="10" borderId="52" xfId="44" applyFont="1" applyFill="1" applyBorder="1" applyAlignment="1">
      <alignment horizontal="right" vertical="top" wrapText="1"/>
      <protection/>
    </xf>
    <xf numFmtId="0" fontId="19" fillId="10" borderId="55" xfId="44" applyFont="1" applyFill="1" applyBorder="1" applyAlignment="1">
      <alignment horizontal="right" vertical="top" wrapText="1"/>
      <protection/>
    </xf>
    <xf numFmtId="0" fontId="32" fillId="0" borderId="0" xfId="44" applyFont="1" applyAlignment="1" quotePrefix="1">
      <alignment horizontal="left" wrapText="1"/>
      <protection/>
    </xf>
    <xf numFmtId="0" fontId="19" fillId="10" borderId="53" xfId="44" applyFont="1" applyFill="1" applyBorder="1" applyAlignment="1">
      <alignment horizontal="left" vertical="top" wrapText="1"/>
      <protection/>
    </xf>
    <xf numFmtId="0" fontId="19" fillId="10" borderId="15" xfId="44" applyFont="1" applyFill="1" applyBorder="1" applyAlignment="1">
      <alignment horizontal="left" vertical="top" wrapText="1"/>
      <protection/>
    </xf>
    <xf numFmtId="0" fontId="19" fillId="10" borderId="55" xfId="44" applyFont="1" applyFill="1" applyBorder="1" applyAlignment="1">
      <alignment horizontal="left" vertical="top" wrapText="1"/>
      <protection/>
    </xf>
    <xf numFmtId="0" fontId="19" fillId="10" borderId="52" xfId="44" applyFont="1" applyFill="1" applyBorder="1" applyAlignment="1">
      <alignment horizontal="left" vertical="top" wrapText="1"/>
      <protection/>
    </xf>
    <xf numFmtId="4" fontId="25" fillId="19" borderId="59" xfId="0" applyNumberFormat="1" applyFont="1" applyFill="1" applyBorder="1" applyAlignment="1" applyProtection="1">
      <alignment horizontal="left"/>
      <protection/>
    </xf>
    <xf numFmtId="4" fontId="25" fillId="19" borderId="60" xfId="0" applyNumberFormat="1" applyFont="1" applyFill="1" applyBorder="1" applyAlignment="1" applyProtection="1">
      <alignment horizontal="left"/>
      <protection/>
    </xf>
    <xf numFmtId="181" fontId="25" fillId="19" borderId="10" xfId="0" applyNumberFormat="1" applyFont="1" applyFill="1" applyBorder="1" applyAlignment="1" applyProtection="1">
      <alignment horizontal="center"/>
      <protection/>
    </xf>
    <xf numFmtId="181" fontId="25" fillId="19" borderId="11" xfId="0" applyNumberFormat="1" applyFont="1" applyFill="1" applyBorder="1" applyAlignment="1" applyProtection="1">
      <alignment horizontal="center"/>
      <protection/>
    </xf>
    <xf numFmtId="14" fontId="25" fillId="19" borderId="11" xfId="0" applyNumberFormat="1" applyFont="1" applyFill="1" applyBorder="1" applyAlignment="1" applyProtection="1">
      <alignment horizontal="left"/>
      <protection/>
    </xf>
    <xf numFmtId="10" fontId="25" fillId="19" borderId="12" xfId="0" applyNumberFormat="1" applyFont="1" applyFill="1" applyBorder="1" applyAlignment="1" applyProtection="1">
      <alignment horizontal="left"/>
      <protection/>
    </xf>
    <xf numFmtId="4" fontId="24" fillId="19" borderId="10" xfId="0" applyNumberFormat="1" applyFont="1" applyFill="1" applyBorder="1" applyAlignment="1" applyProtection="1">
      <alignment horizontal="center" vertical="top"/>
      <protection/>
    </xf>
    <xf numFmtId="4" fontId="24" fillId="19" borderId="11" xfId="0" applyNumberFormat="1" applyFont="1" applyFill="1" applyBorder="1" applyAlignment="1" applyProtection="1">
      <alignment horizontal="center" vertical="top"/>
      <protection/>
    </xf>
    <xf numFmtId="4" fontId="24" fillId="19" borderId="12" xfId="0" applyNumberFormat="1" applyFont="1" applyFill="1" applyBorder="1" applyAlignment="1" applyProtection="1">
      <alignment horizontal="center" vertical="top"/>
      <protection/>
    </xf>
    <xf numFmtId="4" fontId="25" fillId="19" borderId="10" xfId="0" applyNumberFormat="1" applyFont="1" applyFill="1" applyBorder="1" applyAlignment="1" applyProtection="1">
      <alignment horizontal="center" vertical="top"/>
      <protection/>
    </xf>
    <xf numFmtId="4" fontId="25" fillId="19" borderId="12" xfId="0" applyNumberFormat="1" applyFont="1" applyFill="1" applyBorder="1" applyAlignment="1" applyProtection="1">
      <alignment horizontal="center" vertical="top"/>
      <protection/>
    </xf>
    <xf numFmtId="0" fontId="31" fillId="0" borderId="52" xfId="44" applyFont="1" applyBorder="1" applyAlignment="1">
      <alignment horizontal="center" vertical="center" wrapText="1"/>
      <protection/>
    </xf>
    <xf numFmtId="4" fontId="24" fillId="19" borderId="61" xfId="0" applyNumberFormat="1" applyFont="1" applyFill="1" applyBorder="1" applyAlignment="1" applyProtection="1">
      <alignment horizontal="left" vertical="top"/>
      <protection/>
    </xf>
    <xf numFmtId="4" fontId="24" fillId="19" borderId="62" xfId="0" applyNumberFormat="1" applyFont="1" applyFill="1" applyBorder="1" applyAlignment="1" applyProtection="1">
      <alignment horizontal="left" vertical="top"/>
      <protection/>
    </xf>
    <xf numFmtId="4" fontId="25" fillId="19" borderId="11" xfId="0" applyNumberFormat="1" applyFont="1" applyFill="1" applyBorder="1" applyAlignment="1" applyProtection="1">
      <alignment horizontal="center" vertical="top"/>
      <protection/>
    </xf>
    <xf numFmtId="4" fontId="25" fillId="0" borderId="10" xfId="0" applyNumberFormat="1" applyFont="1" applyFill="1" applyBorder="1" applyAlignment="1" applyProtection="1">
      <alignment horizontal="left"/>
      <protection/>
    </xf>
    <xf numFmtId="4" fontId="25" fillId="0" borderId="11" xfId="0" applyNumberFormat="1" applyFont="1" applyFill="1" applyBorder="1" applyAlignment="1" applyProtection="1">
      <alignment horizontal="left"/>
      <protection/>
    </xf>
    <xf numFmtId="4" fontId="25" fillId="0" borderId="12" xfId="0" applyNumberFormat="1" applyFont="1" applyFill="1" applyBorder="1" applyAlignment="1" applyProtection="1">
      <alignment horizontal="left"/>
      <protection/>
    </xf>
    <xf numFmtId="4" fontId="25" fillId="0" borderId="10" xfId="0" applyNumberFormat="1" applyFont="1" applyFill="1" applyBorder="1" applyAlignment="1" applyProtection="1">
      <alignment horizontal="left" vertical="top"/>
      <protection/>
    </xf>
    <xf numFmtId="4" fontId="25" fillId="0" borderId="11" xfId="0" applyNumberFormat="1" applyFont="1" applyFill="1" applyBorder="1" applyAlignment="1" applyProtection="1">
      <alignment horizontal="left" vertical="top"/>
      <protection/>
    </xf>
    <xf numFmtId="4" fontId="25" fillId="0" borderId="12" xfId="0" applyNumberFormat="1" applyFont="1" applyFill="1" applyBorder="1" applyAlignment="1" applyProtection="1">
      <alignment horizontal="left" vertical="top"/>
      <protection/>
    </xf>
  </cellXfs>
  <cellStyles count="50">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Excel Built-in Normal" xfId="44"/>
    <cellStyle name="Excel Built-in Normal 1" xfId="45"/>
    <cellStyle name="Incorreto" xfId="46"/>
    <cellStyle name="Currency" xfId="47"/>
    <cellStyle name="Currency [0]" xfId="48"/>
    <cellStyle name="Neutra" xfId="49"/>
    <cellStyle name="Normal 3" xfId="50"/>
    <cellStyle name="Nota" xfId="51"/>
    <cellStyle name="Percent" xfId="52"/>
    <cellStyle name="Saída" xfId="53"/>
    <cellStyle name="Comma" xfId="54"/>
    <cellStyle name="Comma [0]" xfId="55"/>
    <cellStyle name="Texto de Aviso" xfId="56"/>
    <cellStyle name="Texto Explicativo" xfId="57"/>
    <cellStyle name="Título 1" xfId="58"/>
    <cellStyle name="Título 1 1" xfId="59"/>
    <cellStyle name="Título 2" xfId="60"/>
    <cellStyle name="Título 3" xfId="61"/>
    <cellStyle name="Título 4" xfId="62"/>
    <cellStyle name="Total" xfId="63"/>
  </cellStyles>
  <dxfs count="2">
    <dxf>
      <fill>
        <patternFill patternType="solid">
          <fgColor rgb="FFF2F2F2"/>
          <bgColor rgb="FFFFFF99"/>
        </patternFill>
      </fill>
      <border/>
    </dxf>
    <dxf>
      <fill>
        <patternFill patternType="solid">
          <fgColor rgb="FFE6E6E6"/>
          <bgColor rgb="FFD9D9D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2F2"/>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E6E6E6"/>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 Id="rId3"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 Id="rId3" Type="http://schemas.openxmlformats.org/officeDocument/2006/relationships/image" Target="../media/image1.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OR&#199;AMENTO%20AR%20CONDICIONADO-PMPM_2501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R CONDICIONADO"/>
      <sheetName val="CRO"/>
      <sheetName val="BDI A.C"/>
      <sheetName val="BDI AC RED."/>
    </sheetNames>
    <sheetDataSet>
      <sheetData sheetId="0">
        <row r="7">
          <cell r="A7" t="str">
            <v>REFERENCIA : INSTALAÇÕES DE AR CONDICIONADO</v>
          </cell>
          <cell r="E7" t="str">
            <v>CONTRATO:363.358-88</v>
          </cell>
        </row>
        <row r="8">
          <cell r="A8" t="str">
            <v>LOCAL: BAIRRO ALTO DA COLINA - PATOS DE MINAS/MG</v>
          </cell>
        </row>
        <row r="9">
          <cell r="E9" t="str">
            <v>CREA: MG-30.465/D</v>
          </cell>
        </row>
        <row r="14">
          <cell r="A14">
            <v>34000</v>
          </cell>
          <cell r="B14" t="str">
            <v>EQUIPAMENTOS - AR CONDICIONADO</v>
          </cell>
          <cell r="I14">
            <v>9118.66786</v>
          </cell>
        </row>
        <row r="17">
          <cell r="A17">
            <v>34100</v>
          </cell>
          <cell r="B17" t="str">
            <v>REDE FRIGORIGENA</v>
          </cell>
          <cell r="I17">
            <v>1116.5397441</v>
          </cell>
        </row>
        <row r="32">
          <cell r="A32">
            <v>34200</v>
          </cell>
          <cell r="B32" t="str">
            <v>OUTRAS DESPESAS</v>
          </cell>
          <cell r="I32">
            <v>4070.0892000000003</v>
          </cell>
        </row>
        <row r="36">
          <cell r="A36">
            <v>34300</v>
          </cell>
          <cell r="B36" t="str">
            <v>LIMPEZA E VERIFICAÇÃO FINAL</v>
          </cell>
          <cell r="I36">
            <v>1495.44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oleObject" Target="../embeddings/oleObject_1_1.bin" /><Relationship Id="rId3" Type="http://schemas.openxmlformats.org/officeDocument/2006/relationships/oleObject" Target="../embeddings/oleObject_1_2.bin" /><Relationship Id="rId4" Type="http://schemas.openxmlformats.org/officeDocument/2006/relationships/vmlDrawing" Target="../drawings/vmlDrawing2.v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vmlDrawing" Target="../drawings/vmlDrawing3.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vmlDrawing" Target="../drawings/vmlDrawing4.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oleObject" Target="../embeddings/oleObject_4_2.bin" /><Relationship Id="rId4" Type="http://schemas.openxmlformats.org/officeDocument/2006/relationships/vmlDrawing" Target="../drawings/vmlDrawing5.vml"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oleObject" Target="../embeddings/oleObject_5_1.bin" /><Relationship Id="rId3" Type="http://schemas.openxmlformats.org/officeDocument/2006/relationships/vmlDrawing" Target="../drawings/vmlDrawing6.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oleObject" Target="../embeddings/oleObject_6_1.bin" /><Relationship Id="rId3" Type="http://schemas.openxmlformats.org/officeDocument/2006/relationships/vmlDrawing" Target="../drawings/vmlDrawing7.v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474"/>
  <sheetViews>
    <sheetView zoomScale="75" zoomScaleNormal="75" workbookViewId="0" topLeftCell="A445">
      <selection activeCell="C461" sqref="C461"/>
    </sheetView>
  </sheetViews>
  <sheetFormatPr defaultColWidth="9.140625" defaultRowHeight="12.75"/>
  <cols>
    <col min="1" max="1" width="12.8515625" style="89" customWidth="1"/>
    <col min="2" max="2" width="17.7109375" style="197" customWidth="1"/>
    <col min="3" max="3" width="65.57421875" style="197" customWidth="1"/>
    <col min="4" max="4" width="12.421875" style="197" customWidth="1"/>
    <col min="5" max="5" width="12.57421875" style="198" customWidth="1"/>
    <col min="6" max="6" width="16.28125" style="198" customWidth="1"/>
    <col min="7" max="7" width="20.28125" style="198" customWidth="1"/>
    <col min="8" max="8" width="14.28125" style="89" customWidth="1"/>
    <col min="9" max="9" width="15.28125" style="150" customWidth="1"/>
    <col min="10" max="16384" width="9.421875" style="89" customWidth="1"/>
  </cols>
  <sheetData>
    <row r="1" spans="1:7" ht="23.25">
      <c r="A1" s="258" t="s">
        <v>31</v>
      </c>
      <c r="B1" s="258"/>
      <c r="C1" s="258"/>
      <c r="D1" s="258"/>
      <c r="E1" s="258"/>
      <c r="F1" s="258"/>
      <c r="G1" s="258"/>
    </row>
    <row r="2" spans="1:7" ht="23.25">
      <c r="A2" s="259" t="s">
        <v>32</v>
      </c>
      <c r="B2" s="259"/>
      <c r="C2" s="259"/>
      <c r="D2" s="259"/>
      <c r="E2" s="259"/>
      <c r="F2" s="259"/>
      <c r="G2" s="259"/>
    </row>
    <row r="3" spans="1:7" ht="23.25">
      <c r="A3" s="1"/>
      <c r="B3" s="1"/>
      <c r="C3" s="1"/>
      <c r="D3" s="1"/>
      <c r="E3" s="1"/>
      <c r="F3" s="1"/>
      <c r="G3" s="1"/>
    </row>
    <row r="4" spans="1:7" ht="23.25">
      <c r="A4" s="260" t="s">
        <v>37</v>
      </c>
      <c r="B4" s="261"/>
      <c r="C4" s="261"/>
      <c r="D4" s="261"/>
      <c r="E4" s="261"/>
      <c r="F4" s="261"/>
      <c r="G4" s="262"/>
    </row>
    <row r="5" spans="1:7" ht="6" customHeight="1">
      <c r="A5" s="259"/>
      <c r="B5" s="259"/>
      <c r="C5" s="259"/>
      <c r="D5" s="259"/>
      <c r="E5" s="259"/>
      <c r="F5" s="259"/>
      <c r="G5" s="259"/>
    </row>
    <row r="6" spans="1:7" ht="18">
      <c r="A6" s="2" t="s">
        <v>341</v>
      </c>
      <c r="B6" s="3"/>
      <c r="C6" s="3"/>
      <c r="D6" s="3"/>
      <c r="E6" s="3"/>
      <c r="F6" s="3"/>
      <c r="G6" s="4"/>
    </row>
    <row r="7" spans="1:7" ht="18">
      <c r="A7" s="5" t="s">
        <v>785</v>
      </c>
      <c r="B7" s="5"/>
      <c r="C7" s="5"/>
      <c r="D7" s="268" t="s">
        <v>137</v>
      </c>
      <c r="E7" s="269"/>
      <c r="F7" s="269"/>
      <c r="G7" s="270"/>
    </row>
    <row r="8" spans="1:7" ht="15">
      <c r="A8" s="271" t="s">
        <v>271</v>
      </c>
      <c r="B8" s="254"/>
      <c r="C8" s="254"/>
      <c r="D8" s="254"/>
      <c r="E8" s="254"/>
      <c r="F8" s="254"/>
      <c r="G8" s="255"/>
    </row>
    <row r="9" spans="1:7" ht="15">
      <c r="A9" s="6" t="s">
        <v>33</v>
      </c>
      <c r="B9" s="7"/>
      <c r="C9" s="8"/>
      <c r="D9" s="100" t="s">
        <v>34</v>
      </c>
      <c r="E9" s="101"/>
      <c r="F9" s="266" t="s">
        <v>637</v>
      </c>
      <c r="G9" s="267"/>
    </row>
    <row r="10" spans="1:7" ht="15.75">
      <c r="A10" s="264" t="s">
        <v>136</v>
      </c>
      <c r="B10" s="272"/>
      <c r="C10" s="272"/>
      <c r="D10" s="272"/>
      <c r="E10" s="272"/>
      <c r="F10" s="272"/>
      <c r="G10" s="273"/>
    </row>
    <row r="11" spans="1:7" ht="15">
      <c r="A11" s="6" t="s">
        <v>135</v>
      </c>
      <c r="B11" s="7"/>
      <c r="C11" s="7"/>
      <c r="D11" s="271" t="s">
        <v>391</v>
      </c>
      <c r="E11" s="254"/>
      <c r="F11" s="254"/>
      <c r="G11" s="255"/>
    </row>
    <row r="12" spans="1:7" ht="6" customHeight="1">
      <c r="A12" s="151"/>
      <c r="B12" s="152"/>
      <c r="C12" s="152"/>
      <c r="D12" s="152"/>
      <c r="E12" s="153"/>
      <c r="F12" s="153"/>
      <c r="G12" s="153"/>
    </row>
    <row r="13" spans="1:8" ht="25.5">
      <c r="A13" s="154" t="s">
        <v>522</v>
      </c>
      <c r="B13" s="155" t="s">
        <v>523</v>
      </c>
      <c r="C13" s="155" t="s">
        <v>524</v>
      </c>
      <c r="D13" s="155" t="s">
        <v>525</v>
      </c>
      <c r="E13" s="156" t="s">
        <v>526</v>
      </c>
      <c r="F13" s="156" t="s">
        <v>527</v>
      </c>
      <c r="G13" s="157" t="s">
        <v>528</v>
      </c>
      <c r="H13" s="158" t="s">
        <v>627</v>
      </c>
    </row>
    <row r="14" spans="1:9" ht="14.25" customHeight="1">
      <c r="A14" s="159">
        <v>1000000</v>
      </c>
      <c r="B14" s="160"/>
      <c r="C14" s="256" t="s">
        <v>529</v>
      </c>
      <c r="D14" s="256"/>
      <c r="E14" s="256"/>
      <c r="F14" s="256"/>
      <c r="G14" s="161">
        <f>SUM(G15:G20)</f>
        <v>21905.7236</v>
      </c>
      <c r="H14" s="202">
        <f>'BDI OBRA'!D39</f>
        <v>0.23467512162162163</v>
      </c>
      <c r="I14" s="162">
        <f>G14*$H$14</f>
        <v>5140.728350039628</v>
      </c>
    </row>
    <row r="15" spans="1:7" ht="38.25">
      <c r="A15" s="149">
        <v>1001000</v>
      </c>
      <c r="B15" s="87" t="s">
        <v>530</v>
      </c>
      <c r="C15" s="87" t="s">
        <v>531</v>
      </c>
      <c r="D15" s="88" t="s">
        <v>532</v>
      </c>
      <c r="E15" s="83">
        <v>1</v>
      </c>
      <c r="F15" s="83">
        <v>884.47</v>
      </c>
      <c r="G15" s="83">
        <f aca="true" t="shared" si="0" ref="G15:G20">F15*E15</f>
        <v>884.47</v>
      </c>
    </row>
    <row r="16" spans="1:7" ht="25.5">
      <c r="A16" s="149">
        <v>1002000</v>
      </c>
      <c r="B16" s="87" t="s">
        <v>533</v>
      </c>
      <c r="C16" s="87" t="s">
        <v>534</v>
      </c>
      <c r="D16" s="88" t="s">
        <v>535</v>
      </c>
      <c r="E16" s="83">
        <v>1197.46</v>
      </c>
      <c r="F16" s="83">
        <v>4.97</v>
      </c>
      <c r="G16" s="83">
        <f t="shared" si="0"/>
        <v>5951.3762</v>
      </c>
    </row>
    <row r="17" spans="1:7" ht="25.5">
      <c r="A17" s="149">
        <v>1003000</v>
      </c>
      <c r="B17" s="87" t="s">
        <v>536</v>
      </c>
      <c r="C17" s="87" t="s">
        <v>537</v>
      </c>
      <c r="D17" s="88" t="s">
        <v>535</v>
      </c>
      <c r="E17" s="83">
        <v>420</v>
      </c>
      <c r="F17" s="83">
        <v>27.96</v>
      </c>
      <c r="G17" s="83">
        <f t="shared" si="0"/>
        <v>11743.2</v>
      </c>
    </row>
    <row r="18" spans="1:7" ht="15">
      <c r="A18" s="149">
        <v>1004000</v>
      </c>
      <c r="B18" s="163">
        <v>73960</v>
      </c>
      <c r="C18" s="164" t="s">
        <v>538</v>
      </c>
      <c r="D18" s="165" t="s">
        <v>539</v>
      </c>
      <c r="E18" s="83">
        <v>1</v>
      </c>
      <c r="F18" s="84">
        <v>897.45</v>
      </c>
      <c r="G18" s="83">
        <f t="shared" si="0"/>
        <v>897.45</v>
      </c>
    </row>
    <row r="19" spans="1:7" ht="15">
      <c r="A19" s="149">
        <v>1005000</v>
      </c>
      <c r="B19" s="166">
        <v>75680</v>
      </c>
      <c r="C19" s="166" t="s">
        <v>540</v>
      </c>
      <c r="D19" s="88" t="s">
        <v>535</v>
      </c>
      <c r="E19" s="83">
        <v>1802.54</v>
      </c>
      <c r="F19" s="85">
        <v>0.31</v>
      </c>
      <c r="G19" s="83">
        <f t="shared" si="0"/>
        <v>558.7873999999999</v>
      </c>
    </row>
    <row r="20" spans="1:7" ht="15">
      <c r="A20" s="149">
        <v>1006000</v>
      </c>
      <c r="B20" s="164" t="s">
        <v>541</v>
      </c>
      <c r="C20" s="164" t="s">
        <v>542</v>
      </c>
      <c r="D20" s="165" t="s">
        <v>543</v>
      </c>
      <c r="E20" s="86">
        <v>8.8</v>
      </c>
      <c r="F20" s="86">
        <v>212.55</v>
      </c>
      <c r="G20" s="83">
        <f t="shared" si="0"/>
        <v>1870.4400000000003</v>
      </c>
    </row>
    <row r="21" spans="1:9" ht="14.25" customHeight="1">
      <c r="A21" s="159">
        <v>2000000</v>
      </c>
      <c r="B21" s="160"/>
      <c r="C21" s="256" t="s">
        <v>544</v>
      </c>
      <c r="D21" s="256"/>
      <c r="E21" s="256"/>
      <c r="F21" s="256"/>
      <c r="G21" s="161">
        <f>SUM(G22:G24)</f>
        <v>11582.4404</v>
      </c>
      <c r="I21" s="162">
        <f>G21*$H$14</f>
        <v>2718.1106095451837</v>
      </c>
    </row>
    <row r="22" spans="1:7" ht="25.5">
      <c r="A22" s="149">
        <v>2001000</v>
      </c>
      <c r="B22" s="87">
        <v>72209</v>
      </c>
      <c r="C22" s="87" t="s">
        <v>545</v>
      </c>
      <c r="D22" s="88" t="s">
        <v>546</v>
      </c>
      <c r="E22" s="83">
        <v>240</v>
      </c>
      <c r="F22" s="83">
        <v>8.68</v>
      </c>
      <c r="G22" s="83">
        <f aca="true" t="shared" si="1" ref="G22:G89">F22*E22</f>
        <v>2083.2</v>
      </c>
    </row>
    <row r="23" spans="1:7" ht="25.5">
      <c r="A23" s="149">
        <v>2002000</v>
      </c>
      <c r="B23" s="87" t="s">
        <v>640</v>
      </c>
      <c r="C23" s="87" t="s">
        <v>639</v>
      </c>
      <c r="D23" s="88" t="s">
        <v>535</v>
      </c>
      <c r="E23" s="83">
        <v>7984.28</v>
      </c>
      <c r="F23" s="83">
        <v>0.43</v>
      </c>
      <c r="G23" s="83">
        <f t="shared" si="1"/>
        <v>3433.2403999999997</v>
      </c>
    </row>
    <row r="24" spans="1:7" ht="38.25">
      <c r="A24" s="149">
        <v>2003000</v>
      </c>
      <c r="B24" s="87" t="s">
        <v>547</v>
      </c>
      <c r="C24" s="87" t="s">
        <v>548</v>
      </c>
      <c r="D24" s="88" t="s">
        <v>535</v>
      </c>
      <c r="E24" s="83">
        <v>50</v>
      </c>
      <c r="F24" s="83">
        <v>121.32</v>
      </c>
      <c r="G24" s="83">
        <f t="shared" si="1"/>
        <v>6066</v>
      </c>
    </row>
    <row r="25" spans="1:9" ht="14.25" customHeight="1">
      <c r="A25" s="159">
        <v>3000000</v>
      </c>
      <c r="B25" s="160"/>
      <c r="C25" s="256" t="s">
        <v>549</v>
      </c>
      <c r="D25" s="256"/>
      <c r="E25" s="256"/>
      <c r="F25" s="256"/>
      <c r="G25" s="161">
        <f>SUM(G26:G31)</f>
        <v>35991.286199999995</v>
      </c>
      <c r="I25" s="162">
        <f>G25*$H$14</f>
        <v>8446.25946630359</v>
      </c>
    </row>
    <row r="26" spans="1:7" ht="15">
      <c r="A26" s="149">
        <v>3001000</v>
      </c>
      <c r="B26" s="87">
        <v>55835</v>
      </c>
      <c r="C26" s="87" t="s">
        <v>550</v>
      </c>
      <c r="D26" s="88" t="s">
        <v>546</v>
      </c>
      <c r="E26" s="83">
        <v>4.62</v>
      </c>
      <c r="F26" s="83">
        <v>21.4</v>
      </c>
      <c r="G26" s="83">
        <f t="shared" si="1"/>
        <v>98.868</v>
      </c>
    </row>
    <row r="27" spans="1:7" ht="15">
      <c r="A27" s="149">
        <v>3002000</v>
      </c>
      <c r="B27" s="87">
        <v>5626</v>
      </c>
      <c r="C27" s="87" t="s">
        <v>551</v>
      </c>
      <c r="D27" s="88" t="s">
        <v>552</v>
      </c>
      <c r="E27" s="83">
        <v>34541.61</v>
      </c>
      <c r="F27" s="83">
        <v>0.57</v>
      </c>
      <c r="G27" s="83">
        <f t="shared" si="1"/>
        <v>19688.717699999997</v>
      </c>
    </row>
    <row r="28" spans="1:7" ht="25.5">
      <c r="A28" s="149">
        <v>3003000</v>
      </c>
      <c r="B28" s="87" t="s">
        <v>553</v>
      </c>
      <c r="C28" s="87" t="s">
        <v>554</v>
      </c>
      <c r="D28" s="88" t="s">
        <v>546</v>
      </c>
      <c r="E28" s="83">
        <v>4.62</v>
      </c>
      <c r="F28" s="83">
        <v>1.85</v>
      </c>
      <c r="G28" s="83">
        <f t="shared" si="1"/>
        <v>8.547</v>
      </c>
    </row>
    <row r="29" spans="1:7" ht="38.25">
      <c r="A29" s="149">
        <v>3004000</v>
      </c>
      <c r="B29" s="87" t="s">
        <v>555</v>
      </c>
      <c r="C29" s="87" t="s">
        <v>556</v>
      </c>
      <c r="D29" s="88" t="s">
        <v>546</v>
      </c>
      <c r="E29" s="83">
        <v>64.65</v>
      </c>
      <c r="F29" s="83">
        <v>5.74</v>
      </c>
      <c r="G29" s="83">
        <f t="shared" si="1"/>
        <v>371.09100000000007</v>
      </c>
    </row>
    <row r="30" spans="1:7" ht="25.5">
      <c r="A30" s="149">
        <v>3005000</v>
      </c>
      <c r="B30" s="87" t="s">
        <v>641</v>
      </c>
      <c r="C30" s="87" t="s">
        <v>665</v>
      </c>
      <c r="D30" s="88" t="s">
        <v>546</v>
      </c>
      <c r="E30" s="83">
        <v>5536.75</v>
      </c>
      <c r="F30" s="83">
        <v>2.85</v>
      </c>
      <c r="G30" s="83">
        <f t="shared" si="1"/>
        <v>15779.737500000001</v>
      </c>
    </row>
    <row r="31" spans="1:7" ht="15">
      <c r="A31" s="149">
        <v>3006000</v>
      </c>
      <c r="B31" s="87" t="s">
        <v>642</v>
      </c>
      <c r="C31" s="87" t="s">
        <v>643</v>
      </c>
      <c r="D31" s="88" t="s">
        <v>546</v>
      </c>
      <c r="E31" s="83">
        <v>19.7</v>
      </c>
      <c r="F31" s="83">
        <v>2.25</v>
      </c>
      <c r="G31" s="83">
        <f t="shared" si="1"/>
        <v>44.324999999999996</v>
      </c>
    </row>
    <row r="32" spans="1:9" ht="14.25" customHeight="1">
      <c r="A32" s="159">
        <v>4000000</v>
      </c>
      <c r="B32" s="160"/>
      <c r="C32" s="256" t="s">
        <v>26</v>
      </c>
      <c r="D32" s="256"/>
      <c r="E32" s="256"/>
      <c r="F32" s="256"/>
      <c r="G32" s="161">
        <f>SUM(G33:G45)</f>
        <v>85877.8288</v>
      </c>
      <c r="I32" s="162">
        <f>G32*$H$14</f>
        <v>20153.389918240802</v>
      </c>
    </row>
    <row r="33" spans="1:7" ht="15">
      <c r="A33" s="149">
        <v>4001000</v>
      </c>
      <c r="B33" s="87">
        <v>5651</v>
      </c>
      <c r="C33" s="87" t="s">
        <v>557</v>
      </c>
      <c r="D33" s="88" t="s">
        <v>535</v>
      </c>
      <c r="E33" s="83">
        <v>448.77</v>
      </c>
      <c r="F33" s="83">
        <v>27.52</v>
      </c>
      <c r="G33" s="83">
        <f t="shared" si="1"/>
        <v>12350.150399999999</v>
      </c>
    </row>
    <row r="34" spans="1:7" ht="15">
      <c r="A34" s="149">
        <v>4002000</v>
      </c>
      <c r="B34" s="87">
        <v>72820</v>
      </c>
      <c r="C34" s="87" t="s">
        <v>558</v>
      </c>
      <c r="D34" s="88" t="s">
        <v>532</v>
      </c>
      <c r="E34" s="83">
        <v>23</v>
      </c>
      <c r="F34" s="83">
        <v>17.63</v>
      </c>
      <c r="G34" s="83">
        <f t="shared" si="1"/>
        <v>405.48999999999995</v>
      </c>
    </row>
    <row r="35" spans="1:7" ht="25.5">
      <c r="A35" s="149">
        <v>4003000</v>
      </c>
      <c r="B35" s="87" t="s">
        <v>559</v>
      </c>
      <c r="C35" s="87" t="s">
        <v>560</v>
      </c>
      <c r="D35" s="88" t="s">
        <v>561</v>
      </c>
      <c r="E35" s="83">
        <v>487.8</v>
      </c>
      <c r="F35" s="83">
        <v>7.26</v>
      </c>
      <c r="G35" s="83">
        <f t="shared" si="1"/>
        <v>3541.428</v>
      </c>
    </row>
    <row r="36" spans="1:7" ht="25.5">
      <c r="A36" s="149">
        <v>4004000</v>
      </c>
      <c r="B36" s="87" t="s">
        <v>562</v>
      </c>
      <c r="C36" s="87" t="s">
        <v>563</v>
      </c>
      <c r="D36" s="88" t="s">
        <v>546</v>
      </c>
      <c r="E36" s="83">
        <v>64.04</v>
      </c>
      <c r="F36" s="83">
        <v>18.35</v>
      </c>
      <c r="G36" s="83">
        <f t="shared" si="1"/>
        <v>1175.1340000000002</v>
      </c>
    </row>
    <row r="37" spans="1:7" ht="25.5">
      <c r="A37" s="149">
        <v>4005000</v>
      </c>
      <c r="B37" s="87" t="s">
        <v>564</v>
      </c>
      <c r="C37" s="87" t="s">
        <v>565</v>
      </c>
      <c r="D37" s="88" t="s">
        <v>546</v>
      </c>
      <c r="E37" s="83">
        <v>114.37</v>
      </c>
      <c r="F37" s="83">
        <v>21.4</v>
      </c>
      <c r="G37" s="83">
        <f t="shared" si="1"/>
        <v>2447.518</v>
      </c>
    </row>
    <row r="38" spans="1:7" ht="25.5">
      <c r="A38" s="149">
        <v>4006000</v>
      </c>
      <c r="B38" s="87" t="s">
        <v>566</v>
      </c>
      <c r="C38" s="87" t="s">
        <v>567</v>
      </c>
      <c r="D38" s="88" t="s">
        <v>546</v>
      </c>
      <c r="E38" s="83">
        <v>41.76</v>
      </c>
      <c r="F38" s="83">
        <v>298.3</v>
      </c>
      <c r="G38" s="83">
        <f t="shared" si="1"/>
        <v>12457.008</v>
      </c>
    </row>
    <row r="39" spans="1:7" ht="15">
      <c r="A39" s="149">
        <v>4007000</v>
      </c>
      <c r="B39" s="87" t="s">
        <v>568</v>
      </c>
      <c r="C39" s="87" t="s">
        <v>569</v>
      </c>
      <c r="D39" s="88" t="s">
        <v>535</v>
      </c>
      <c r="E39" s="83">
        <v>163.03</v>
      </c>
      <c r="F39" s="83">
        <v>2.01</v>
      </c>
      <c r="G39" s="83">
        <f t="shared" si="1"/>
        <v>327.6903</v>
      </c>
    </row>
    <row r="40" spans="1:7" ht="15">
      <c r="A40" s="149">
        <v>4008000</v>
      </c>
      <c r="B40" s="87" t="s">
        <v>570</v>
      </c>
      <c r="C40" s="87" t="s">
        <v>571</v>
      </c>
      <c r="D40" s="88" t="s">
        <v>546</v>
      </c>
      <c r="E40" s="83">
        <v>8.15</v>
      </c>
      <c r="F40" s="83">
        <v>251</v>
      </c>
      <c r="G40" s="83">
        <f t="shared" si="1"/>
        <v>2045.65</v>
      </c>
    </row>
    <row r="41" spans="1:7" ht="25.5">
      <c r="A41" s="149">
        <v>4009000</v>
      </c>
      <c r="B41" s="87" t="s">
        <v>572</v>
      </c>
      <c r="C41" s="87" t="s">
        <v>573</v>
      </c>
      <c r="D41" s="88" t="s">
        <v>574</v>
      </c>
      <c r="E41" s="83">
        <v>69</v>
      </c>
      <c r="F41" s="83">
        <v>28.91</v>
      </c>
      <c r="G41" s="83">
        <f>F41*E41</f>
        <v>1994.79</v>
      </c>
    </row>
    <row r="42" spans="1:7" ht="15">
      <c r="A42" s="149">
        <v>4010000</v>
      </c>
      <c r="B42" s="87" t="s">
        <v>575</v>
      </c>
      <c r="C42" s="87" t="s">
        <v>576</v>
      </c>
      <c r="D42" s="88" t="s">
        <v>546</v>
      </c>
      <c r="E42" s="83">
        <v>41.76</v>
      </c>
      <c r="F42" s="83">
        <v>49.51</v>
      </c>
      <c r="G42" s="83">
        <f t="shared" si="1"/>
        <v>2067.5375999999997</v>
      </c>
    </row>
    <row r="43" spans="1:9" ht="15">
      <c r="A43" s="149">
        <v>4011000</v>
      </c>
      <c r="B43" s="87" t="s">
        <v>577</v>
      </c>
      <c r="C43" s="87" t="s">
        <v>578</v>
      </c>
      <c r="D43" s="88" t="s">
        <v>546</v>
      </c>
      <c r="E43" s="83">
        <v>57.45</v>
      </c>
      <c r="F43" s="83">
        <v>10.13</v>
      </c>
      <c r="G43" s="83">
        <f t="shared" si="1"/>
        <v>581.9685000000001</v>
      </c>
      <c r="H43" s="89">
        <f>POWER(0.25/2,2)*PI()</f>
        <v>0.04908738521234052</v>
      </c>
      <c r="I43" s="200" t="s">
        <v>23</v>
      </c>
    </row>
    <row r="44" spans="1:9" ht="25.5">
      <c r="A44" s="149">
        <v>4012000</v>
      </c>
      <c r="B44" s="87" t="s">
        <v>579</v>
      </c>
      <c r="C44" s="87" t="s">
        <v>580</v>
      </c>
      <c r="D44" s="88" t="s">
        <v>561</v>
      </c>
      <c r="E44" s="83">
        <v>2437.3</v>
      </c>
      <c r="F44" s="83">
        <v>6.68</v>
      </c>
      <c r="G44" s="83">
        <f t="shared" si="1"/>
        <v>16281.164</v>
      </c>
      <c r="H44" s="89">
        <f>POWER(0.3/2,2)*PI()</f>
        <v>0.07068583470577035</v>
      </c>
      <c r="I44" s="201" t="s">
        <v>24</v>
      </c>
    </row>
    <row r="45" spans="1:9" ht="25.5">
      <c r="A45" s="149">
        <v>40013000</v>
      </c>
      <c r="B45" s="87" t="s">
        <v>747</v>
      </c>
      <c r="C45" s="87" t="s">
        <v>22</v>
      </c>
      <c r="D45" s="88" t="s">
        <v>574</v>
      </c>
      <c r="E45" s="83">
        <v>745</v>
      </c>
      <c r="F45" s="83">
        <v>40.54</v>
      </c>
      <c r="G45" s="83">
        <f>F45*E45</f>
        <v>30202.3</v>
      </c>
      <c r="H45" s="89">
        <f>H44/H43*F41</f>
        <v>41.6304</v>
      </c>
      <c r="I45" s="200" t="s">
        <v>25</v>
      </c>
    </row>
    <row r="46" spans="1:9" ht="14.25" customHeight="1">
      <c r="A46" s="159">
        <v>5000000</v>
      </c>
      <c r="B46" s="160"/>
      <c r="C46" s="256" t="s">
        <v>581</v>
      </c>
      <c r="D46" s="256"/>
      <c r="E46" s="256"/>
      <c r="F46" s="256"/>
      <c r="G46" s="161">
        <f>SUM(G47:G56)</f>
        <v>274744.3189</v>
      </c>
      <c r="I46" s="162">
        <f>G46*$H$14</f>
        <v>64475.6564527071</v>
      </c>
    </row>
    <row r="47" spans="1:7" ht="15">
      <c r="A47" s="149">
        <v>5001000</v>
      </c>
      <c r="B47" s="87">
        <v>68328</v>
      </c>
      <c r="C47" s="87" t="s">
        <v>582</v>
      </c>
      <c r="D47" s="88" t="s">
        <v>535</v>
      </c>
      <c r="E47" s="83">
        <v>41.85</v>
      </c>
      <c r="F47" s="83">
        <v>7.31</v>
      </c>
      <c r="G47" s="83">
        <f t="shared" si="1"/>
        <v>305.9235</v>
      </c>
    </row>
    <row r="48" spans="1:7" ht="25.5">
      <c r="A48" s="149">
        <v>5002000</v>
      </c>
      <c r="B48" s="87" t="s">
        <v>559</v>
      </c>
      <c r="C48" s="87" t="s">
        <v>560</v>
      </c>
      <c r="D48" s="88" t="s">
        <v>561</v>
      </c>
      <c r="E48" s="83">
        <v>654.7</v>
      </c>
      <c r="F48" s="83">
        <v>7.26</v>
      </c>
      <c r="G48" s="83">
        <f t="shared" si="1"/>
        <v>4753.122</v>
      </c>
    </row>
    <row r="49" spans="1:7" ht="25.5">
      <c r="A49" s="149">
        <v>5003000</v>
      </c>
      <c r="B49" s="87" t="s">
        <v>566</v>
      </c>
      <c r="C49" s="87" t="s">
        <v>567</v>
      </c>
      <c r="D49" s="88" t="s">
        <v>546</v>
      </c>
      <c r="E49" s="83">
        <v>99.98</v>
      </c>
      <c r="F49" s="83">
        <v>298.3</v>
      </c>
      <c r="G49" s="83">
        <f t="shared" si="1"/>
        <v>29824.034000000003</v>
      </c>
    </row>
    <row r="50" spans="1:7" ht="25.5">
      <c r="A50" s="149">
        <v>5004000</v>
      </c>
      <c r="B50" s="87" t="s">
        <v>583</v>
      </c>
      <c r="C50" s="87" t="s">
        <v>584</v>
      </c>
      <c r="D50" s="88" t="s">
        <v>535</v>
      </c>
      <c r="E50" s="83">
        <v>1145.01</v>
      </c>
      <c r="F50" s="83">
        <v>49.76</v>
      </c>
      <c r="G50" s="83">
        <f t="shared" si="1"/>
        <v>56975.6976</v>
      </c>
    </row>
    <row r="51" spans="1:7" ht="25.5">
      <c r="A51" s="149">
        <v>5005000</v>
      </c>
      <c r="B51" s="87" t="s">
        <v>585</v>
      </c>
      <c r="C51" s="87" t="s">
        <v>586</v>
      </c>
      <c r="D51" s="88" t="s">
        <v>546</v>
      </c>
      <c r="E51" s="83">
        <v>99.98</v>
      </c>
      <c r="F51" s="83">
        <v>95.95</v>
      </c>
      <c r="G51" s="83">
        <f t="shared" si="1"/>
        <v>9593.081</v>
      </c>
    </row>
    <row r="52" spans="1:7" ht="25.5">
      <c r="A52" s="149">
        <v>5006000</v>
      </c>
      <c r="B52" s="87" t="s">
        <v>587</v>
      </c>
      <c r="C52" s="87" t="s">
        <v>588</v>
      </c>
      <c r="D52" s="88" t="s">
        <v>561</v>
      </c>
      <c r="E52" s="83">
        <f>1402.8+206.6</f>
        <v>1609.3999999999999</v>
      </c>
      <c r="F52" s="83">
        <v>5.99</v>
      </c>
      <c r="G52" s="83">
        <f t="shared" si="1"/>
        <v>9640.305999999999</v>
      </c>
    </row>
    <row r="53" spans="1:9" s="170" customFormat="1" ht="25.5">
      <c r="A53" s="167">
        <v>5007000</v>
      </c>
      <c r="B53" s="168" t="s">
        <v>579</v>
      </c>
      <c r="C53" s="168" t="s">
        <v>580</v>
      </c>
      <c r="D53" s="169" t="s">
        <v>561</v>
      </c>
      <c r="E53" s="90">
        <v>9570.7</v>
      </c>
      <c r="F53" s="90">
        <v>6.68</v>
      </c>
      <c r="G53" s="83">
        <f t="shared" si="1"/>
        <v>63932.276000000005</v>
      </c>
      <c r="I53" s="150"/>
    </row>
    <row r="54" spans="1:9" s="170" customFormat="1" ht="15">
      <c r="A54" s="167">
        <v>5008000</v>
      </c>
      <c r="B54" s="168" t="s">
        <v>589</v>
      </c>
      <c r="C54" s="168" t="s">
        <v>590</v>
      </c>
      <c r="D54" s="169" t="s">
        <v>561</v>
      </c>
      <c r="E54" s="90">
        <v>11796.82</v>
      </c>
      <c r="F54" s="90">
        <v>6.51</v>
      </c>
      <c r="G54" s="83">
        <f t="shared" si="1"/>
        <v>76797.29819999999</v>
      </c>
      <c r="I54" s="150"/>
    </row>
    <row r="55" spans="1:9" s="170" customFormat="1" ht="25.5">
      <c r="A55" s="167">
        <v>5009000</v>
      </c>
      <c r="B55" s="168">
        <v>75689</v>
      </c>
      <c r="C55" s="168" t="s">
        <v>591</v>
      </c>
      <c r="D55" s="169" t="s">
        <v>535</v>
      </c>
      <c r="E55" s="90">
        <v>578.21</v>
      </c>
      <c r="F55" s="90">
        <v>13.78</v>
      </c>
      <c r="G55" s="83">
        <f t="shared" si="1"/>
        <v>7967.7338</v>
      </c>
      <c r="I55" s="150"/>
    </row>
    <row r="56" spans="1:9" s="170" customFormat="1" ht="15">
      <c r="A56" s="167">
        <v>5010000</v>
      </c>
      <c r="B56" s="168">
        <v>71741</v>
      </c>
      <c r="C56" s="168" t="s">
        <v>592</v>
      </c>
      <c r="D56" s="169" t="s">
        <v>546</v>
      </c>
      <c r="E56" s="90">
        <v>58.39</v>
      </c>
      <c r="F56" s="90">
        <v>256.12</v>
      </c>
      <c r="G56" s="83">
        <f t="shared" si="1"/>
        <v>14954.846800000001</v>
      </c>
      <c r="I56" s="150"/>
    </row>
    <row r="57" spans="1:9" s="170" customFormat="1" ht="14.25" customHeight="1">
      <c r="A57" s="171">
        <v>6000000</v>
      </c>
      <c r="B57" s="172"/>
      <c r="C57" s="263" t="s">
        <v>593</v>
      </c>
      <c r="D57" s="263"/>
      <c r="E57" s="263"/>
      <c r="F57" s="263"/>
      <c r="G57" s="173">
        <f>SUM(G58:G64)</f>
        <v>45118.63959999999</v>
      </c>
      <c r="I57" s="162">
        <f>G57*$H$14</f>
        <v>10588.222235532112</v>
      </c>
    </row>
    <row r="58" spans="1:9" s="170" customFormat="1" ht="38.25">
      <c r="A58" s="167">
        <v>6001000</v>
      </c>
      <c r="B58" s="174" t="s">
        <v>594</v>
      </c>
      <c r="C58" s="174" t="s">
        <v>595</v>
      </c>
      <c r="D58" s="175" t="s">
        <v>543</v>
      </c>
      <c r="E58" s="91">
        <v>1148.85</v>
      </c>
      <c r="F58" s="91">
        <v>27.81</v>
      </c>
      <c r="G58" s="83">
        <f t="shared" si="1"/>
        <v>31949.518499999995</v>
      </c>
      <c r="I58" s="150"/>
    </row>
    <row r="59" spans="1:7" ht="38.25">
      <c r="A59" s="149">
        <v>6002000</v>
      </c>
      <c r="B59" s="87" t="s">
        <v>596</v>
      </c>
      <c r="C59" s="87" t="s">
        <v>597</v>
      </c>
      <c r="D59" s="88" t="s">
        <v>574</v>
      </c>
      <c r="E59" s="83">
        <v>254.8</v>
      </c>
      <c r="F59" s="83">
        <v>3.14</v>
      </c>
      <c r="G59" s="83">
        <f t="shared" si="1"/>
        <v>800.0720000000001</v>
      </c>
    </row>
    <row r="60" spans="1:7" ht="38.25">
      <c r="A60" s="149">
        <v>6003000</v>
      </c>
      <c r="B60" s="87" t="s">
        <v>598</v>
      </c>
      <c r="C60" s="87" t="s">
        <v>599</v>
      </c>
      <c r="D60" s="88" t="s">
        <v>574</v>
      </c>
      <c r="E60" s="83">
        <v>123.58</v>
      </c>
      <c r="F60" s="83">
        <v>11.02</v>
      </c>
      <c r="G60" s="83">
        <f t="shared" si="1"/>
        <v>1361.8516</v>
      </c>
    </row>
    <row r="61" spans="1:7" ht="25.5">
      <c r="A61" s="149">
        <v>6004000</v>
      </c>
      <c r="B61" s="174">
        <v>72244</v>
      </c>
      <c r="C61" s="164" t="s">
        <v>600</v>
      </c>
      <c r="D61" s="88" t="s">
        <v>535</v>
      </c>
      <c r="E61" s="83">
        <f>12.6+4.6</f>
        <v>17.2</v>
      </c>
      <c r="F61" s="84">
        <v>182.71</v>
      </c>
      <c r="G61" s="83">
        <f t="shared" si="1"/>
        <v>3142.612</v>
      </c>
    </row>
    <row r="62" spans="1:7" ht="25.5">
      <c r="A62" s="149">
        <v>6005000</v>
      </c>
      <c r="B62" s="87">
        <v>75695</v>
      </c>
      <c r="C62" s="87" t="s">
        <v>601</v>
      </c>
      <c r="D62" s="88" t="s">
        <v>535</v>
      </c>
      <c r="E62" s="83">
        <v>101.5</v>
      </c>
      <c r="F62" s="83">
        <v>33.05</v>
      </c>
      <c r="G62" s="83">
        <f t="shared" si="1"/>
        <v>3354.575</v>
      </c>
    </row>
    <row r="63" spans="1:7" ht="25.5">
      <c r="A63" s="149">
        <v>6006000</v>
      </c>
      <c r="B63" s="87" t="s">
        <v>676</v>
      </c>
      <c r="C63" s="87" t="s">
        <v>602</v>
      </c>
      <c r="D63" s="88" t="s">
        <v>535</v>
      </c>
      <c r="E63" s="83">
        <v>77.65</v>
      </c>
      <c r="F63" s="83">
        <v>55</v>
      </c>
      <c r="G63" s="83">
        <f t="shared" si="1"/>
        <v>4270.75</v>
      </c>
    </row>
    <row r="64" spans="1:7" ht="15">
      <c r="A64" s="149">
        <v>6007000</v>
      </c>
      <c r="B64" s="163">
        <v>75780</v>
      </c>
      <c r="C64" s="163" t="s">
        <v>603</v>
      </c>
      <c r="D64" s="176" t="s">
        <v>535</v>
      </c>
      <c r="E64" s="92">
        <v>4.79</v>
      </c>
      <c r="F64" s="92">
        <v>49.95</v>
      </c>
      <c r="G64" s="83">
        <f>F64*E64</f>
        <v>239.2605</v>
      </c>
    </row>
    <row r="65" spans="1:9" ht="14.25" customHeight="1">
      <c r="A65" s="159">
        <v>7000000</v>
      </c>
      <c r="B65" s="160"/>
      <c r="C65" s="256" t="s">
        <v>604</v>
      </c>
      <c r="D65" s="256"/>
      <c r="E65" s="256"/>
      <c r="F65" s="256"/>
      <c r="G65" s="161">
        <f>SUM(G66:G71)</f>
        <v>7627.56</v>
      </c>
      <c r="I65" s="162">
        <f>G65*$H$14</f>
        <v>1789.9985706762163</v>
      </c>
    </row>
    <row r="66" spans="1:7" ht="25.5">
      <c r="A66" s="149">
        <v>7001000</v>
      </c>
      <c r="B66" s="87" t="s">
        <v>605</v>
      </c>
      <c r="C66" s="87" t="s">
        <v>606</v>
      </c>
      <c r="D66" s="88" t="s">
        <v>532</v>
      </c>
      <c r="E66" s="83">
        <v>2</v>
      </c>
      <c r="F66" s="83">
        <v>508.18</v>
      </c>
      <c r="G66" s="83">
        <f t="shared" si="1"/>
        <v>1016.36</v>
      </c>
    </row>
    <row r="67" spans="1:7" ht="51">
      <c r="A67" s="149">
        <v>7002000</v>
      </c>
      <c r="B67" s="87">
        <v>75782</v>
      </c>
      <c r="C67" s="87" t="s">
        <v>607</v>
      </c>
      <c r="D67" s="88" t="s">
        <v>532</v>
      </c>
      <c r="E67" s="83">
        <v>10</v>
      </c>
      <c r="F67" s="83">
        <v>337.85</v>
      </c>
      <c r="G67" s="83">
        <f t="shared" si="1"/>
        <v>3378.5</v>
      </c>
    </row>
    <row r="68" spans="1:7" ht="15">
      <c r="A68" s="149">
        <v>7003000</v>
      </c>
      <c r="B68" s="87">
        <v>75782</v>
      </c>
      <c r="C68" s="87" t="s">
        <v>608</v>
      </c>
      <c r="D68" s="88" t="s">
        <v>532</v>
      </c>
      <c r="E68" s="83">
        <v>2</v>
      </c>
      <c r="F68" s="83">
        <v>337.85</v>
      </c>
      <c r="G68" s="83">
        <f t="shared" si="1"/>
        <v>675.7</v>
      </c>
    </row>
    <row r="69" spans="1:7" ht="25.5">
      <c r="A69" s="149">
        <v>7004000</v>
      </c>
      <c r="B69" s="87" t="s">
        <v>666</v>
      </c>
      <c r="C69" s="87" t="s">
        <v>609</v>
      </c>
      <c r="D69" s="88" t="s">
        <v>532</v>
      </c>
      <c r="E69" s="83">
        <v>6</v>
      </c>
      <c r="F69" s="83">
        <v>228.24</v>
      </c>
      <c r="G69" s="83">
        <f t="shared" si="1"/>
        <v>1369.44</v>
      </c>
    </row>
    <row r="70" spans="1:9" s="170" customFormat="1" ht="25.5">
      <c r="A70" s="167">
        <v>7005000</v>
      </c>
      <c r="B70" s="168" t="s">
        <v>610</v>
      </c>
      <c r="C70" s="168" t="s">
        <v>611</v>
      </c>
      <c r="D70" s="169" t="s">
        <v>532</v>
      </c>
      <c r="E70" s="177">
        <v>1</v>
      </c>
      <c r="F70" s="90">
        <v>900</v>
      </c>
      <c r="G70" s="83">
        <f t="shared" si="1"/>
        <v>900</v>
      </c>
      <c r="I70" s="150"/>
    </row>
    <row r="71" spans="1:9" s="179" customFormat="1" ht="15">
      <c r="A71" s="149">
        <v>7006000</v>
      </c>
      <c r="B71" s="87">
        <v>72783</v>
      </c>
      <c r="C71" s="87" t="s">
        <v>612</v>
      </c>
      <c r="D71" s="88" t="s">
        <v>532</v>
      </c>
      <c r="E71" s="178">
        <v>1</v>
      </c>
      <c r="F71" s="83">
        <v>287.56</v>
      </c>
      <c r="G71" s="83">
        <f t="shared" si="1"/>
        <v>287.56</v>
      </c>
      <c r="I71" s="150"/>
    </row>
    <row r="72" spans="1:9" ht="14.25" customHeight="1">
      <c r="A72" s="159">
        <v>8000000</v>
      </c>
      <c r="B72" s="160"/>
      <c r="C72" s="256" t="s">
        <v>613</v>
      </c>
      <c r="D72" s="256"/>
      <c r="E72" s="256"/>
      <c r="F72" s="256"/>
      <c r="G72" s="161">
        <f>SUM(G73:G75)</f>
        <v>2651.62</v>
      </c>
      <c r="I72" s="162">
        <f>G72*$H$14</f>
        <v>622.2692459943244</v>
      </c>
    </row>
    <row r="73" spans="1:7" ht="38.25">
      <c r="A73" s="149">
        <v>8001000</v>
      </c>
      <c r="B73" s="87" t="s">
        <v>667</v>
      </c>
      <c r="C73" s="87" t="s">
        <v>614</v>
      </c>
      <c r="D73" s="88" t="s">
        <v>532</v>
      </c>
      <c r="E73" s="83">
        <v>18</v>
      </c>
      <c r="F73" s="83">
        <v>73</v>
      </c>
      <c r="G73" s="83">
        <f t="shared" si="1"/>
        <v>1314</v>
      </c>
    </row>
    <row r="74" spans="1:7" ht="15">
      <c r="A74" s="149">
        <v>8002000</v>
      </c>
      <c r="B74" s="87">
        <v>76034</v>
      </c>
      <c r="C74" s="87" t="s">
        <v>615</v>
      </c>
      <c r="D74" s="88" t="s">
        <v>532</v>
      </c>
      <c r="E74" s="83">
        <v>2</v>
      </c>
      <c r="F74" s="83">
        <v>43.66</v>
      </c>
      <c r="G74" s="83">
        <f t="shared" si="1"/>
        <v>87.32</v>
      </c>
    </row>
    <row r="75" spans="1:7" ht="15">
      <c r="A75" s="149">
        <v>8003000</v>
      </c>
      <c r="B75" s="87" t="s">
        <v>319</v>
      </c>
      <c r="C75" s="87" t="s">
        <v>616</v>
      </c>
      <c r="D75" s="88" t="s">
        <v>532</v>
      </c>
      <c r="E75" s="83">
        <v>2</v>
      </c>
      <c r="F75" s="83">
        <v>625.15</v>
      </c>
      <c r="G75" s="83">
        <f t="shared" si="1"/>
        <v>1250.3</v>
      </c>
    </row>
    <row r="76" spans="1:7" ht="14.25" customHeight="1">
      <c r="A76" s="159">
        <v>9000000</v>
      </c>
      <c r="B76" s="160"/>
      <c r="C76" s="256" t="s">
        <v>617</v>
      </c>
      <c r="D76" s="256"/>
      <c r="E76" s="256"/>
      <c r="F76" s="256"/>
      <c r="G76" s="161">
        <f>SUM(G77:G87)</f>
        <v>61979.539800000006</v>
      </c>
    </row>
    <row r="77" spans="1:7" ht="25.5">
      <c r="A77" s="149">
        <v>9001000</v>
      </c>
      <c r="B77" s="87" t="s">
        <v>320</v>
      </c>
      <c r="C77" s="87" t="s">
        <v>618</v>
      </c>
      <c r="D77" s="88" t="s">
        <v>535</v>
      </c>
      <c r="E77" s="83">
        <v>49.76</v>
      </c>
      <c r="F77" s="83">
        <v>417.98</v>
      </c>
      <c r="G77" s="83">
        <f t="shared" si="1"/>
        <v>20798.6848</v>
      </c>
    </row>
    <row r="78" spans="1:7" ht="25.5">
      <c r="A78" s="149">
        <v>9002000</v>
      </c>
      <c r="B78" s="87" t="s">
        <v>320</v>
      </c>
      <c r="C78" s="87" t="s">
        <v>619</v>
      </c>
      <c r="D78" s="88" t="s">
        <v>535</v>
      </c>
      <c r="E78" s="83">
        <v>14.43</v>
      </c>
      <c r="F78" s="83">
        <v>417.98</v>
      </c>
      <c r="G78" s="83">
        <f t="shared" si="1"/>
        <v>6031.4514</v>
      </c>
    </row>
    <row r="79" spans="1:7" ht="25.5">
      <c r="A79" s="149">
        <v>9003000</v>
      </c>
      <c r="B79" s="87" t="s">
        <v>320</v>
      </c>
      <c r="C79" s="87" t="s">
        <v>620</v>
      </c>
      <c r="D79" s="88" t="s">
        <v>535</v>
      </c>
      <c r="E79" s="83">
        <v>15.2</v>
      </c>
      <c r="F79" s="83">
        <v>417.98</v>
      </c>
      <c r="G79" s="83">
        <f t="shared" si="1"/>
        <v>6353.296</v>
      </c>
    </row>
    <row r="80" spans="1:7" ht="25.5">
      <c r="A80" s="149">
        <v>9004000</v>
      </c>
      <c r="B80" s="87" t="s">
        <v>320</v>
      </c>
      <c r="C80" s="87" t="s">
        <v>621</v>
      </c>
      <c r="D80" s="88" t="s">
        <v>535</v>
      </c>
      <c r="E80" s="83">
        <v>17.27</v>
      </c>
      <c r="F80" s="83">
        <v>417.98</v>
      </c>
      <c r="G80" s="83">
        <f t="shared" si="1"/>
        <v>7218.5146</v>
      </c>
    </row>
    <row r="81" spans="1:7" ht="25.5">
      <c r="A81" s="149">
        <v>9005000</v>
      </c>
      <c r="B81" s="87" t="s">
        <v>320</v>
      </c>
      <c r="C81" s="87" t="s">
        <v>622</v>
      </c>
      <c r="D81" s="88" t="s">
        <v>535</v>
      </c>
      <c r="E81" s="83">
        <v>17.27</v>
      </c>
      <c r="F81" s="83">
        <v>417.98</v>
      </c>
      <c r="G81" s="83">
        <f t="shared" si="1"/>
        <v>7218.5146</v>
      </c>
    </row>
    <row r="82" spans="1:7" ht="25.5">
      <c r="A82" s="149">
        <v>9006000</v>
      </c>
      <c r="B82" s="87" t="s">
        <v>320</v>
      </c>
      <c r="C82" s="87" t="s">
        <v>628</v>
      </c>
      <c r="D82" s="88" t="s">
        <v>535</v>
      </c>
      <c r="E82" s="83">
        <v>16.94</v>
      </c>
      <c r="F82" s="83">
        <v>417.98</v>
      </c>
      <c r="G82" s="83">
        <f t="shared" si="1"/>
        <v>7080.5812000000005</v>
      </c>
    </row>
    <row r="83" spans="1:7" ht="25.5">
      <c r="A83" s="149">
        <v>9007000</v>
      </c>
      <c r="B83" s="87" t="s">
        <v>320</v>
      </c>
      <c r="C83" s="87" t="s">
        <v>629</v>
      </c>
      <c r="D83" s="88" t="s">
        <v>535</v>
      </c>
      <c r="E83" s="83">
        <v>7.79</v>
      </c>
      <c r="F83" s="83">
        <v>417.98</v>
      </c>
      <c r="G83" s="83">
        <f t="shared" si="1"/>
        <v>3256.0642000000003</v>
      </c>
    </row>
    <row r="84" spans="1:7" ht="25.5">
      <c r="A84" s="149">
        <v>9008000</v>
      </c>
      <c r="B84" s="87" t="s">
        <v>320</v>
      </c>
      <c r="C84" s="87" t="s">
        <v>630</v>
      </c>
      <c r="D84" s="88" t="s">
        <v>535</v>
      </c>
      <c r="E84" s="83">
        <v>0.72</v>
      </c>
      <c r="F84" s="83">
        <v>417.98</v>
      </c>
      <c r="G84" s="83">
        <f t="shared" si="1"/>
        <v>300.9456</v>
      </c>
    </row>
    <row r="85" spans="1:9" s="170" customFormat="1" ht="25.5">
      <c r="A85" s="167">
        <v>9009000</v>
      </c>
      <c r="B85" s="168" t="s">
        <v>631</v>
      </c>
      <c r="C85" s="168" t="s">
        <v>632</v>
      </c>
      <c r="D85" s="169" t="s">
        <v>535</v>
      </c>
      <c r="E85" s="90">
        <v>3.84</v>
      </c>
      <c r="F85" s="90">
        <v>448.89</v>
      </c>
      <c r="G85" s="83">
        <f t="shared" si="1"/>
        <v>1723.7376</v>
      </c>
      <c r="I85" s="150"/>
    </row>
    <row r="86" spans="1:7" ht="25.5">
      <c r="A86" s="149">
        <v>9010000</v>
      </c>
      <c r="B86" s="87" t="s">
        <v>633</v>
      </c>
      <c r="C86" s="87" t="s">
        <v>634</v>
      </c>
      <c r="D86" s="88" t="s">
        <v>535</v>
      </c>
      <c r="E86" s="83">
        <v>3.78</v>
      </c>
      <c r="F86" s="83">
        <v>448.89</v>
      </c>
      <c r="G86" s="83">
        <f t="shared" si="1"/>
        <v>1696.8041999999998</v>
      </c>
    </row>
    <row r="87" spans="1:7" ht="25.5">
      <c r="A87" s="149">
        <v>9011000</v>
      </c>
      <c r="B87" s="87" t="s">
        <v>320</v>
      </c>
      <c r="C87" s="87" t="s">
        <v>635</v>
      </c>
      <c r="D87" s="88" t="s">
        <v>535</v>
      </c>
      <c r="E87" s="83">
        <v>0.72</v>
      </c>
      <c r="F87" s="83">
        <v>417.98</v>
      </c>
      <c r="G87" s="83">
        <f t="shared" si="1"/>
        <v>300.9456</v>
      </c>
    </row>
    <row r="88" spans="1:7" ht="14.25" customHeight="1">
      <c r="A88" s="159">
        <v>10000000</v>
      </c>
      <c r="B88" s="160"/>
      <c r="C88" s="256" t="s">
        <v>636</v>
      </c>
      <c r="D88" s="256"/>
      <c r="E88" s="256"/>
      <c r="F88" s="256"/>
      <c r="G88" s="161">
        <f>SUM(G89:G90)</f>
        <v>14000</v>
      </c>
    </row>
    <row r="89" spans="1:7" ht="38.25">
      <c r="A89" s="149">
        <v>10002000</v>
      </c>
      <c r="B89" s="180" t="s">
        <v>681</v>
      </c>
      <c r="C89" s="87" t="s">
        <v>682</v>
      </c>
      <c r="D89" s="88" t="s">
        <v>532</v>
      </c>
      <c r="E89" s="178">
        <v>1</v>
      </c>
      <c r="F89" s="83">
        <v>7000</v>
      </c>
      <c r="G89" s="83">
        <f t="shared" si="1"/>
        <v>7000</v>
      </c>
    </row>
    <row r="90" spans="1:7" ht="38.25">
      <c r="A90" s="149">
        <v>10003000</v>
      </c>
      <c r="B90" s="180" t="s">
        <v>683</v>
      </c>
      <c r="C90" s="87" t="s">
        <v>684</v>
      </c>
      <c r="D90" s="88" t="s">
        <v>532</v>
      </c>
      <c r="E90" s="178">
        <v>2</v>
      </c>
      <c r="F90" s="83">
        <v>3500</v>
      </c>
      <c r="G90" s="83">
        <f>F90*E90</f>
        <v>7000</v>
      </c>
    </row>
    <row r="91" spans="1:7" ht="14.25" customHeight="1">
      <c r="A91" s="159">
        <v>11000000</v>
      </c>
      <c r="B91" s="160"/>
      <c r="C91" s="256" t="s">
        <v>685</v>
      </c>
      <c r="D91" s="256"/>
      <c r="E91" s="256"/>
      <c r="F91" s="256"/>
      <c r="G91" s="161">
        <f>SUM(G92)</f>
        <v>14201.032299999999</v>
      </c>
    </row>
    <row r="92" spans="1:7" ht="25.5">
      <c r="A92" s="149">
        <v>11001000</v>
      </c>
      <c r="B92" s="87" t="s">
        <v>686</v>
      </c>
      <c r="C92" s="87" t="s">
        <v>687</v>
      </c>
      <c r="D92" s="88" t="s">
        <v>535</v>
      </c>
      <c r="E92" s="83">
        <v>143.17</v>
      </c>
      <c r="F92" s="83">
        <v>99.19</v>
      </c>
      <c r="G92" s="83">
        <f>F92*E92</f>
        <v>14201.032299999999</v>
      </c>
    </row>
    <row r="93" spans="1:7" ht="14.25" customHeight="1">
      <c r="A93" s="181">
        <v>12000000</v>
      </c>
      <c r="B93" s="160"/>
      <c r="C93" s="256" t="s">
        <v>688</v>
      </c>
      <c r="D93" s="256"/>
      <c r="E93" s="256"/>
      <c r="F93" s="256"/>
      <c r="G93" s="161">
        <f>SUM(G94:G101)</f>
        <v>63061.3632</v>
      </c>
    </row>
    <row r="94" spans="1:7" ht="25.5">
      <c r="A94" s="149">
        <v>12001000</v>
      </c>
      <c r="B94" s="87">
        <v>72081</v>
      </c>
      <c r="C94" s="87" t="s">
        <v>689</v>
      </c>
      <c r="D94" s="88" t="s">
        <v>535</v>
      </c>
      <c r="E94" s="83">
        <v>583.2</v>
      </c>
      <c r="F94" s="83">
        <v>46.97</v>
      </c>
      <c r="G94" s="83">
        <f aca="true" t="shared" si="2" ref="G94:G150">F94*E94</f>
        <v>27392.904000000002</v>
      </c>
    </row>
    <row r="95" spans="1:7" ht="25.5">
      <c r="A95" s="149">
        <v>12002000</v>
      </c>
      <c r="B95" s="87">
        <v>72105</v>
      </c>
      <c r="C95" s="87" t="s">
        <v>690</v>
      </c>
      <c r="D95" s="88" t="s">
        <v>574</v>
      </c>
      <c r="E95" s="83">
        <v>197</v>
      </c>
      <c r="F95" s="83">
        <v>34.06</v>
      </c>
      <c r="G95" s="83">
        <f t="shared" si="2"/>
        <v>6709.820000000001</v>
      </c>
    </row>
    <row r="96" spans="1:7" ht="25.5">
      <c r="A96" s="149">
        <v>12003000</v>
      </c>
      <c r="B96" s="87">
        <v>72108</v>
      </c>
      <c r="C96" s="87" t="s">
        <v>691</v>
      </c>
      <c r="D96" s="88" t="s">
        <v>574</v>
      </c>
      <c r="E96" s="83">
        <v>100.6</v>
      </c>
      <c r="F96" s="83">
        <v>27.91</v>
      </c>
      <c r="G96" s="83">
        <f t="shared" si="2"/>
        <v>2807.7459999999996</v>
      </c>
    </row>
    <row r="97" spans="1:7" ht="38.25">
      <c r="A97" s="149">
        <v>12004000</v>
      </c>
      <c r="B97" s="87" t="s">
        <v>692</v>
      </c>
      <c r="C97" s="87" t="s">
        <v>693</v>
      </c>
      <c r="D97" s="88" t="s">
        <v>574</v>
      </c>
      <c r="E97" s="83">
        <v>72</v>
      </c>
      <c r="F97" s="83">
        <v>55.06</v>
      </c>
      <c r="G97" s="83">
        <f t="shared" si="2"/>
        <v>3964.32</v>
      </c>
    </row>
    <row r="98" spans="1:7" ht="38.25">
      <c r="A98" s="149">
        <v>12005000</v>
      </c>
      <c r="B98" s="87" t="s">
        <v>694</v>
      </c>
      <c r="C98" s="87" t="s">
        <v>695</v>
      </c>
      <c r="D98" s="88" t="s">
        <v>535</v>
      </c>
      <c r="E98" s="83">
        <v>583.2</v>
      </c>
      <c r="F98" s="83">
        <v>15.91</v>
      </c>
      <c r="G98" s="83">
        <f t="shared" si="2"/>
        <v>9278.712000000001</v>
      </c>
    </row>
    <row r="99" spans="1:7" ht="15">
      <c r="A99" s="149">
        <v>12006000</v>
      </c>
      <c r="B99" s="87" t="s">
        <v>696</v>
      </c>
      <c r="C99" s="87" t="s">
        <v>697</v>
      </c>
      <c r="D99" s="88" t="s">
        <v>535</v>
      </c>
      <c r="E99" s="83">
        <v>7.85</v>
      </c>
      <c r="F99" s="83">
        <v>26.37</v>
      </c>
      <c r="G99" s="83">
        <f t="shared" si="2"/>
        <v>207.0045</v>
      </c>
    </row>
    <row r="100" spans="1:7" ht="15">
      <c r="A100" s="149">
        <v>12007000</v>
      </c>
      <c r="B100" s="87">
        <v>75220</v>
      </c>
      <c r="C100" s="87" t="s">
        <v>698</v>
      </c>
      <c r="D100" s="88" t="s">
        <v>699</v>
      </c>
      <c r="E100" s="83">
        <v>24.3</v>
      </c>
      <c r="F100" s="83">
        <v>27.33</v>
      </c>
      <c r="G100" s="83">
        <f t="shared" si="2"/>
        <v>664.119</v>
      </c>
    </row>
    <row r="101" spans="1:7" ht="25.5">
      <c r="A101" s="149">
        <v>12008000</v>
      </c>
      <c r="B101" s="87">
        <v>24757</v>
      </c>
      <c r="C101" s="87" t="s">
        <v>700</v>
      </c>
      <c r="D101" s="88" t="s">
        <v>535</v>
      </c>
      <c r="E101" s="83">
        <v>410.67</v>
      </c>
      <c r="F101" s="83">
        <v>29.31</v>
      </c>
      <c r="G101" s="83">
        <f t="shared" si="2"/>
        <v>12036.7377</v>
      </c>
    </row>
    <row r="102" spans="1:7" ht="14.25" customHeight="1">
      <c r="A102" s="181">
        <v>13000000</v>
      </c>
      <c r="B102" s="160"/>
      <c r="C102" s="256" t="s">
        <v>701</v>
      </c>
      <c r="D102" s="256"/>
      <c r="E102" s="256"/>
      <c r="F102" s="256"/>
      <c r="G102" s="161">
        <f>SUM(G103:G106)</f>
        <v>2524.892</v>
      </c>
    </row>
    <row r="103" spans="1:7" ht="25.5">
      <c r="A103" s="182">
        <v>13001000</v>
      </c>
      <c r="B103" s="87" t="s">
        <v>702</v>
      </c>
      <c r="C103" s="87" t="s">
        <v>703</v>
      </c>
      <c r="D103" s="88" t="s">
        <v>535</v>
      </c>
      <c r="E103" s="178">
        <v>23.2</v>
      </c>
      <c r="F103" s="83">
        <v>28.57</v>
      </c>
      <c r="G103" s="83">
        <f t="shared" si="2"/>
        <v>662.824</v>
      </c>
    </row>
    <row r="104" spans="1:7" ht="25.5">
      <c r="A104" s="149">
        <v>13002000</v>
      </c>
      <c r="B104" s="87">
        <v>73635</v>
      </c>
      <c r="C104" s="87" t="s">
        <v>704</v>
      </c>
      <c r="D104" s="88" t="s">
        <v>535</v>
      </c>
      <c r="E104" s="178">
        <v>23.2</v>
      </c>
      <c r="F104" s="83">
        <v>10.15</v>
      </c>
      <c r="G104" s="83">
        <f t="shared" si="2"/>
        <v>235.48</v>
      </c>
    </row>
    <row r="105" spans="1:7" ht="25.5">
      <c r="A105" s="182">
        <v>13003000</v>
      </c>
      <c r="B105" s="87" t="s">
        <v>705</v>
      </c>
      <c r="C105" s="87" t="s">
        <v>706</v>
      </c>
      <c r="D105" s="88" t="s">
        <v>535</v>
      </c>
      <c r="E105" s="83">
        <v>319.38</v>
      </c>
      <c r="F105" s="83">
        <v>4.6</v>
      </c>
      <c r="G105" s="83">
        <f t="shared" si="2"/>
        <v>1469.148</v>
      </c>
    </row>
    <row r="106" spans="1:7" ht="25.5">
      <c r="A106" s="149">
        <v>13004000</v>
      </c>
      <c r="B106" s="164" t="s">
        <v>707</v>
      </c>
      <c r="C106" s="164" t="s">
        <v>708</v>
      </c>
      <c r="D106" s="165" t="s">
        <v>543</v>
      </c>
      <c r="E106" s="86">
        <v>16</v>
      </c>
      <c r="F106" s="86">
        <v>9.84</v>
      </c>
      <c r="G106" s="83">
        <f t="shared" si="2"/>
        <v>157.44</v>
      </c>
    </row>
    <row r="107" spans="1:7" ht="14.25" customHeight="1">
      <c r="A107" s="181">
        <v>14000000</v>
      </c>
      <c r="B107" s="160"/>
      <c r="C107" s="256" t="s">
        <v>709</v>
      </c>
      <c r="D107" s="256"/>
      <c r="E107" s="256"/>
      <c r="F107" s="256"/>
      <c r="G107" s="161">
        <f>SUM(G108)</f>
        <v>4967.116800000001</v>
      </c>
    </row>
    <row r="108" spans="1:7" ht="15">
      <c r="A108" s="182">
        <v>14001000</v>
      </c>
      <c r="B108" s="183" t="s">
        <v>710</v>
      </c>
      <c r="C108" s="183" t="s">
        <v>711</v>
      </c>
      <c r="D108" s="184" t="s">
        <v>543</v>
      </c>
      <c r="E108" s="93">
        <v>568.32</v>
      </c>
      <c r="F108" s="93">
        <v>8.74</v>
      </c>
      <c r="G108" s="83">
        <f t="shared" si="2"/>
        <v>4967.116800000001</v>
      </c>
    </row>
    <row r="109" spans="1:7" ht="14.25" customHeight="1">
      <c r="A109" s="181">
        <v>15000000</v>
      </c>
      <c r="B109" s="160"/>
      <c r="C109" s="256" t="s">
        <v>712</v>
      </c>
      <c r="D109" s="256"/>
      <c r="E109" s="256"/>
      <c r="F109" s="256"/>
      <c r="G109" s="161">
        <f>SUM(G110:G115)</f>
        <v>51364.275499999996</v>
      </c>
    </row>
    <row r="110" spans="1:7" ht="38.25">
      <c r="A110" s="182">
        <v>15001000</v>
      </c>
      <c r="B110" s="87" t="s">
        <v>713</v>
      </c>
      <c r="C110" s="87" t="s">
        <v>714</v>
      </c>
      <c r="D110" s="88" t="s">
        <v>535</v>
      </c>
      <c r="E110" s="83">
        <f>199.98+4.6</f>
        <v>204.57999999999998</v>
      </c>
      <c r="F110" s="83">
        <v>15.4</v>
      </c>
      <c r="G110" s="83">
        <f t="shared" si="2"/>
        <v>3150.5319999999997</v>
      </c>
    </row>
    <row r="111" spans="1:7" ht="25.5">
      <c r="A111" s="182">
        <v>15002000</v>
      </c>
      <c r="B111" s="87" t="s">
        <v>715</v>
      </c>
      <c r="C111" s="87" t="s">
        <v>716</v>
      </c>
      <c r="D111" s="88" t="s">
        <v>535</v>
      </c>
      <c r="E111" s="83">
        <v>2410.39</v>
      </c>
      <c r="F111" s="83">
        <v>3.17</v>
      </c>
      <c r="G111" s="83">
        <f t="shared" si="2"/>
        <v>7640.936299999999</v>
      </c>
    </row>
    <row r="112" spans="1:7" ht="15">
      <c r="A112" s="182">
        <v>15003000</v>
      </c>
      <c r="B112" s="87" t="s">
        <v>717</v>
      </c>
      <c r="C112" s="87" t="s">
        <v>718</v>
      </c>
      <c r="D112" s="88" t="s">
        <v>535</v>
      </c>
      <c r="E112" s="83">
        <f>2132+73.9</f>
        <v>2205.9</v>
      </c>
      <c r="F112" s="83">
        <v>11.71</v>
      </c>
      <c r="G112" s="83">
        <f t="shared" si="2"/>
        <v>25831.089000000004</v>
      </c>
    </row>
    <row r="113" spans="1:7" ht="38.25">
      <c r="A113" s="182">
        <v>15004000</v>
      </c>
      <c r="B113" s="87" t="s">
        <v>321</v>
      </c>
      <c r="C113" s="87" t="s">
        <v>719</v>
      </c>
      <c r="D113" s="88" t="s">
        <v>535</v>
      </c>
      <c r="E113" s="83">
        <v>204.58</v>
      </c>
      <c r="F113" s="83">
        <v>29.14</v>
      </c>
      <c r="G113" s="83">
        <f t="shared" si="2"/>
        <v>5961.461200000001</v>
      </c>
    </row>
    <row r="114" spans="1:7" ht="25.5">
      <c r="A114" s="182">
        <v>15005000</v>
      </c>
      <c r="B114" s="87" t="s">
        <v>720</v>
      </c>
      <c r="C114" s="87" t="s">
        <v>721</v>
      </c>
      <c r="D114" s="88" t="s">
        <v>543</v>
      </c>
      <c r="E114" s="83">
        <v>71.06</v>
      </c>
      <c r="F114" s="83">
        <v>38.45</v>
      </c>
      <c r="G114" s="83">
        <f t="shared" si="2"/>
        <v>2732.2570000000005</v>
      </c>
    </row>
    <row r="115" spans="1:7" ht="25.5">
      <c r="A115" s="182">
        <v>15006000</v>
      </c>
      <c r="B115" s="87" t="s">
        <v>722</v>
      </c>
      <c r="C115" s="87" t="s">
        <v>723</v>
      </c>
      <c r="D115" s="88" t="s">
        <v>543</v>
      </c>
      <c r="E115" s="83">
        <v>84</v>
      </c>
      <c r="F115" s="83">
        <v>72</v>
      </c>
      <c r="G115" s="83">
        <f t="shared" si="2"/>
        <v>6048</v>
      </c>
    </row>
    <row r="116" spans="1:7" ht="14.25" customHeight="1">
      <c r="A116" s="181">
        <v>16000000</v>
      </c>
      <c r="B116" s="160"/>
      <c r="C116" s="256" t="s">
        <v>724</v>
      </c>
      <c r="D116" s="256"/>
      <c r="E116" s="256"/>
      <c r="F116" s="256"/>
      <c r="G116" s="161">
        <f>SUM(G117:G125)</f>
        <v>75432.2638</v>
      </c>
    </row>
    <row r="117" spans="1:7" ht="38.25">
      <c r="A117" s="182">
        <v>16001000</v>
      </c>
      <c r="B117" s="87">
        <v>68325</v>
      </c>
      <c r="C117" s="87" t="s">
        <v>725</v>
      </c>
      <c r="D117" s="88" t="s">
        <v>535</v>
      </c>
      <c r="E117" s="83">
        <v>410.67</v>
      </c>
      <c r="F117" s="83">
        <v>32.93</v>
      </c>
      <c r="G117" s="83">
        <f t="shared" si="2"/>
        <v>13523.3631</v>
      </c>
    </row>
    <row r="118" spans="1:7" ht="25.5">
      <c r="A118" s="182">
        <v>16002000</v>
      </c>
      <c r="B118" s="87" t="s">
        <v>726</v>
      </c>
      <c r="C118" s="87" t="s">
        <v>708</v>
      </c>
      <c r="D118" s="88" t="s">
        <v>535</v>
      </c>
      <c r="E118" s="83">
        <v>568.32</v>
      </c>
      <c r="F118" s="83">
        <v>9.84</v>
      </c>
      <c r="G118" s="83">
        <f t="shared" si="2"/>
        <v>5592.268800000001</v>
      </c>
    </row>
    <row r="119" spans="1:7" ht="25.5">
      <c r="A119" s="182">
        <v>16003000</v>
      </c>
      <c r="B119" s="87" t="s">
        <v>553</v>
      </c>
      <c r="C119" s="87" t="s">
        <v>554</v>
      </c>
      <c r="D119" s="88" t="s">
        <v>546</v>
      </c>
      <c r="E119" s="83">
        <v>99.7</v>
      </c>
      <c r="F119" s="83">
        <v>1.85</v>
      </c>
      <c r="G119" s="83">
        <f t="shared" si="2"/>
        <v>184.44500000000002</v>
      </c>
    </row>
    <row r="120" spans="1:7" ht="15">
      <c r="A120" s="182">
        <v>16004000</v>
      </c>
      <c r="B120" s="87" t="s">
        <v>570</v>
      </c>
      <c r="C120" s="87" t="s">
        <v>571</v>
      </c>
      <c r="D120" s="88" t="s">
        <v>546</v>
      </c>
      <c r="E120" s="83">
        <v>49.85</v>
      </c>
      <c r="F120" s="83">
        <v>251</v>
      </c>
      <c r="G120" s="83">
        <f t="shared" si="2"/>
        <v>12512.35</v>
      </c>
    </row>
    <row r="121" spans="1:7" ht="15">
      <c r="A121" s="182">
        <v>16005000</v>
      </c>
      <c r="B121" s="87" t="s">
        <v>727</v>
      </c>
      <c r="C121" s="87" t="s">
        <v>728</v>
      </c>
      <c r="D121" s="88" t="s">
        <v>535</v>
      </c>
      <c r="E121" s="83">
        <f>543.71-84</f>
        <v>459.71000000000004</v>
      </c>
      <c r="F121" s="83">
        <v>35.51</v>
      </c>
      <c r="G121" s="83">
        <f t="shared" si="2"/>
        <v>16324.3021</v>
      </c>
    </row>
    <row r="122" spans="1:7" ht="15">
      <c r="A122" s="182">
        <v>16006000</v>
      </c>
      <c r="B122" s="87">
        <v>75786</v>
      </c>
      <c r="C122" s="87" t="s">
        <v>729</v>
      </c>
      <c r="D122" s="88" t="s">
        <v>699</v>
      </c>
      <c r="E122" s="83">
        <v>359.4</v>
      </c>
      <c r="F122" s="83">
        <v>4.65</v>
      </c>
      <c r="G122" s="83">
        <f t="shared" si="2"/>
        <v>1671.21</v>
      </c>
    </row>
    <row r="123" spans="1:7" ht="25.5">
      <c r="A123" s="182">
        <v>16007000</v>
      </c>
      <c r="B123" s="87" t="s">
        <v>322</v>
      </c>
      <c r="C123" s="87" t="s">
        <v>730</v>
      </c>
      <c r="D123" s="88" t="s">
        <v>535</v>
      </c>
      <c r="E123" s="83">
        <f>24.61+10.6</f>
        <v>35.21</v>
      </c>
      <c r="F123" s="83">
        <v>48.88</v>
      </c>
      <c r="G123" s="83">
        <f t="shared" si="2"/>
        <v>1721.0648</v>
      </c>
    </row>
    <row r="124" spans="1:7" ht="25.5">
      <c r="A124" s="182">
        <v>16008000</v>
      </c>
      <c r="B124" s="87" t="s">
        <v>731</v>
      </c>
      <c r="C124" s="87" t="s">
        <v>732</v>
      </c>
      <c r="D124" s="88" t="s">
        <v>574</v>
      </c>
      <c r="E124" s="83">
        <v>4</v>
      </c>
      <c r="F124" s="83">
        <v>42.69</v>
      </c>
      <c r="G124" s="83">
        <f t="shared" si="2"/>
        <v>170.76</v>
      </c>
    </row>
    <row r="125" spans="1:7" ht="63.75">
      <c r="A125" s="182">
        <v>16009000</v>
      </c>
      <c r="B125" s="87" t="s">
        <v>733</v>
      </c>
      <c r="C125" s="87" t="s">
        <v>734</v>
      </c>
      <c r="D125" s="88" t="s">
        <v>543</v>
      </c>
      <c r="E125" s="83">
        <f>84+10.93</f>
        <v>94.93</v>
      </c>
      <c r="F125" s="83">
        <v>250</v>
      </c>
      <c r="G125" s="83">
        <f t="shared" si="2"/>
        <v>23732.5</v>
      </c>
    </row>
    <row r="126" spans="1:7" ht="14.25" customHeight="1">
      <c r="A126" s="181">
        <v>17000000</v>
      </c>
      <c r="B126" s="160"/>
      <c r="C126" s="256" t="s">
        <v>735</v>
      </c>
      <c r="D126" s="256"/>
      <c r="E126" s="256"/>
      <c r="F126" s="256"/>
      <c r="G126" s="161">
        <f>SUM(G127:G135)</f>
        <v>106665.81169999999</v>
      </c>
    </row>
    <row r="127" spans="1:7" ht="25.5">
      <c r="A127" s="182">
        <v>17001000</v>
      </c>
      <c r="B127" s="87">
        <v>73675</v>
      </c>
      <c r="C127" s="87" t="s">
        <v>736</v>
      </c>
      <c r="D127" s="88" t="s">
        <v>535</v>
      </c>
      <c r="E127" s="83">
        <v>1122.55</v>
      </c>
      <c r="F127" s="83">
        <v>39.76</v>
      </c>
      <c r="G127" s="83">
        <f t="shared" si="2"/>
        <v>44632.587999999996</v>
      </c>
    </row>
    <row r="128" spans="1:7" ht="38.25">
      <c r="A128" s="182">
        <v>17002000</v>
      </c>
      <c r="B128" s="87" t="s">
        <v>737</v>
      </c>
      <c r="C128" s="87" t="s">
        <v>738</v>
      </c>
      <c r="D128" s="88" t="s">
        <v>574</v>
      </c>
      <c r="E128" s="83">
        <v>109.41</v>
      </c>
      <c r="F128" s="83">
        <v>23.94</v>
      </c>
      <c r="G128" s="83">
        <f t="shared" si="2"/>
        <v>2619.2754</v>
      </c>
    </row>
    <row r="129" spans="1:7" ht="25.5">
      <c r="A129" s="182">
        <v>17003000</v>
      </c>
      <c r="B129" s="87" t="s">
        <v>553</v>
      </c>
      <c r="C129" s="87" t="s">
        <v>554</v>
      </c>
      <c r="D129" s="88" t="s">
        <v>546</v>
      </c>
      <c r="E129" s="83">
        <v>139.2</v>
      </c>
      <c r="F129" s="83">
        <v>1.85</v>
      </c>
      <c r="G129" s="83">
        <f t="shared" si="2"/>
        <v>257.52</v>
      </c>
    </row>
    <row r="130" spans="1:7" ht="15">
      <c r="A130" s="182">
        <v>17004000</v>
      </c>
      <c r="B130" s="87" t="s">
        <v>568</v>
      </c>
      <c r="C130" s="87" t="s">
        <v>569</v>
      </c>
      <c r="D130" s="88" t="s">
        <v>535</v>
      </c>
      <c r="E130" s="83">
        <v>1167.81</v>
      </c>
      <c r="F130" s="83">
        <v>2.01</v>
      </c>
      <c r="G130" s="83">
        <f t="shared" si="2"/>
        <v>2347.2980999999995</v>
      </c>
    </row>
    <row r="131" spans="1:7" ht="15">
      <c r="A131" s="182">
        <v>17005000</v>
      </c>
      <c r="B131" s="87" t="s">
        <v>739</v>
      </c>
      <c r="C131" s="87" t="s">
        <v>571</v>
      </c>
      <c r="D131" s="88" t="s">
        <v>546</v>
      </c>
      <c r="E131" s="83">
        <v>26.25</v>
      </c>
      <c r="F131" s="83">
        <v>251</v>
      </c>
      <c r="G131" s="83">
        <f t="shared" si="2"/>
        <v>6588.75</v>
      </c>
    </row>
    <row r="132" spans="1:7" ht="38.25">
      <c r="A132" s="182">
        <v>17006000</v>
      </c>
      <c r="B132" s="87" t="s">
        <v>740</v>
      </c>
      <c r="C132" s="87" t="s">
        <v>741</v>
      </c>
      <c r="D132" s="88" t="s">
        <v>535</v>
      </c>
      <c r="E132" s="83">
        <v>525</v>
      </c>
      <c r="F132" s="83">
        <v>30.6</v>
      </c>
      <c r="G132" s="83">
        <f t="shared" si="2"/>
        <v>16065</v>
      </c>
    </row>
    <row r="133" spans="1:7" ht="25.5">
      <c r="A133" s="182">
        <v>17007000</v>
      </c>
      <c r="B133" s="87" t="s">
        <v>742</v>
      </c>
      <c r="C133" s="87" t="s">
        <v>743</v>
      </c>
      <c r="D133" s="88" t="s">
        <v>535</v>
      </c>
      <c r="E133" s="83">
        <v>31.68</v>
      </c>
      <c r="F133" s="83">
        <v>99.33</v>
      </c>
      <c r="G133" s="83">
        <f t="shared" si="2"/>
        <v>3146.7744</v>
      </c>
    </row>
    <row r="134" spans="1:7" ht="38.25">
      <c r="A134" s="182">
        <v>17008000</v>
      </c>
      <c r="B134" s="87" t="s">
        <v>744</v>
      </c>
      <c r="C134" s="87" t="s">
        <v>745</v>
      </c>
      <c r="D134" s="88" t="s">
        <v>535</v>
      </c>
      <c r="E134" s="83">
        <v>60.46</v>
      </c>
      <c r="F134" s="83">
        <v>99.33</v>
      </c>
      <c r="G134" s="83">
        <f t="shared" si="2"/>
        <v>6005.4918</v>
      </c>
    </row>
    <row r="135" spans="1:7" ht="51">
      <c r="A135" s="182">
        <v>17009000</v>
      </c>
      <c r="B135" s="87" t="s">
        <v>746</v>
      </c>
      <c r="C135" s="87" t="s">
        <v>748</v>
      </c>
      <c r="D135" s="88" t="s">
        <v>535</v>
      </c>
      <c r="E135" s="83">
        <v>498.07</v>
      </c>
      <c r="F135" s="83">
        <v>50.2</v>
      </c>
      <c r="G135" s="83">
        <f t="shared" si="2"/>
        <v>25003.114</v>
      </c>
    </row>
    <row r="136" spans="1:7" ht="14.25" customHeight="1">
      <c r="A136" s="181">
        <v>18000000</v>
      </c>
      <c r="B136" s="160"/>
      <c r="C136" s="256" t="s">
        <v>749</v>
      </c>
      <c r="D136" s="256"/>
      <c r="E136" s="256"/>
      <c r="F136" s="256"/>
      <c r="G136" s="161">
        <f>SUM(G137:G150)</f>
        <v>34394.741799999996</v>
      </c>
    </row>
    <row r="137" spans="1:7" ht="25.5">
      <c r="A137" s="182">
        <v>18001000</v>
      </c>
      <c r="B137" s="87" t="s">
        <v>199</v>
      </c>
      <c r="C137" s="87" t="s">
        <v>200</v>
      </c>
      <c r="D137" s="88" t="s">
        <v>574</v>
      </c>
      <c r="E137" s="83">
        <v>26.23</v>
      </c>
      <c r="F137" s="83">
        <v>45.17</v>
      </c>
      <c r="G137" s="83">
        <f t="shared" si="2"/>
        <v>1184.8091000000002</v>
      </c>
    </row>
    <row r="138" spans="1:7" ht="25.5">
      <c r="A138" s="185">
        <v>18002000</v>
      </c>
      <c r="B138" s="87" t="s">
        <v>201</v>
      </c>
      <c r="C138" s="87" t="s">
        <v>202</v>
      </c>
      <c r="D138" s="88" t="s">
        <v>535</v>
      </c>
      <c r="E138" s="83">
        <v>14.96</v>
      </c>
      <c r="F138" s="83">
        <v>27.81</v>
      </c>
      <c r="G138" s="83">
        <f t="shared" si="2"/>
        <v>416.0376</v>
      </c>
    </row>
    <row r="139" spans="1:7" ht="25.5">
      <c r="A139" s="182">
        <v>18003000</v>
      </c>
      <c r="B139" s="87" t="s">
        <v>559</v>
      </c>
      <c r="C139" s="87" t="s">
        <v>560</v>
      </c>
      <c r="D139" s="88" t="s">
        <v>561</v>
      </c>
      <c r="E139" s="83">
        <v>47.3</v>
      </c>
      <c r="F139" s="83">
        <v>7.26</v>
      </c>
      <c r="G139" s="83">
        <f t="shared" si="2"/>
        <v>343.39799999999997</v>
      </c>
    </row>
    <row r="140" spans="1:7" ht="15">
      <c r="A140" s="185">
        <v>18004000</v>
      </c>
      <c r="B140" s="87" t="s">
        <v>203</v>
      </c>
      <c r="C140" s="87" t="s">
        <v>204</v>
      </c>
      <c r="D140" s="88" t="s">
        <v>546</v>
      </c>
      <c r="E140" s="83">
        <v>1.8</v>
      </c>
      <c r="F140" s="83">
        <v>18.35</v>
      </c>
      <c r="G140" s="83">
        <f t="shared" si="2"/>
        <v>33.03</v>
      </c>
    </row>
    <row r="141" spans="1:7" ht="25.5">
      <c r="A141" s="182">
        <v>18005000</v>
      </c>
      <c r="B141" s="87" t="s">
        <v>566</v>
      </c>
      <c r="C141" s="87" t="s">
        <v>567</v>
      </c>
      <c r="D141" s="88" t="s">
        <v>546</v>
      </c>
      <c r="E141" s="83">
        <v>28.25</v>
      </c>
      <c r="F141" s="83">
        <v>298.3</v>
      </c>
      <c r="G141" s="83">
        <f t="shared" si="2"/>
        <v>8426.975</v>
      </c>
    </row>
    <row r="142" spans="1:7" ht="25.5">
      <c r="A142" s="185">
        <v>18006000</v>
      </c>
      <c r="B142" s="87" t="s">
        <v>583</v>
      </c>
      <c r="C142" s="87" t="s">
        <v>584</v>
      </c>
      <c r="D142" s="88" t="s">
        <v>535</v>
      </c>
      <c r="E142" s="83">
        <v>32.85</v>
      </c>
      <c r="F142" s="83">
        <v>49.76</v>
      </c>
      <c r="G142" s="83">
        <f t="shared" si="2"/>
        <v>1634.616</v>
      </c>
    </row>
    <row r="143" spans="1:7" ht="25.5">
      <c r="A143" s="182">
        <v>18007000</v>
      </c>
      <c r="B143" s="87" t="s">
        <v>585</v>
      </c>
      <c r="C143" s="87" t="s">
        <v>586</v>
      </c>
      <c r="D143" s="88" t="s">
        <v>546</v>
      </c>
      <c r="E143" s="83">
        <v>28.25</v>
      </c>
      <c r="F143" s="83">
        <v>95.95</v>
      </c>
      <c r="G143" s="83">
        <f t="shared" si="2"/>
        <v>2710.5875</v>
      </c>
    </row>
    <row r="144" spans="1:7" ht="25.5">
      <c r="A144" s="185">
        <v>18008000</v>
      </c>
      <c r="B144" s="87" t="s">
        <v>579</v>
      </c>
      <c r="C144" s="87" t="s">
        <v>580</v>
      </c>
      <c r="D144" s="88" t="s">
        <v>561</v>
      </c>
      <c r="E144" s="83">
        <v>1858.3</v>
      </c>
      <c r="F144" s="83">
        <v>6.68</v>
      </c>
      <c r="G144" s="83">
        <f t="shared" si="2"/>
        <v>12413.444</v>
      </c>
    </row>
    <row r="145" spans="1:7" ht="15">
      <c r="A145" s="182">
        <v>18009000</v>
      </c>
      <c r="B145" s="87">
        <v>75788</v>
      </c>
      <c r="C145" s="87" t="s">
        <v>205</v>
      </c>
      <c r="D145" s="88" t="s">
        <v>546</v>
      </c>
      <c r="E145" s="83">
        <v>1.13</v>
      </c>
      <c r="F145" s="83">
        <v>160.93</v>
      </c>
      <c r="G145" s="83">
        <f t="shared" si="2"/>
        <v>181.8509</v>
      </c>
    </row>
    <row r="146" spans="1:7" ht="25.5">
      <c r="A146" s="185">
        <v>18010000</v>
      </c>
      <c r="B146" s="87" t="s">
        <v>206</v>
      </c>
      <c r="C146" s="87" t="s">
        <v>207</v>
      </c>
      <c r="D146" s="88" t="s">
        <v>574</v>
      </c>
      <c r="E146" s="83">
        <v>26.5</v>
      </c>
      <c r="F146" s="83">
        <v>6.96</v>
      </c>
      <c r="G146" s="83">
        <f t="shared" si="2"/>
        <v>184.44</v>
      </c>
    </row>
    <row r="147" spans="1:7" ht="15">
      <c r="A147" s="182">
        <v>18011000</v>
      </c>
      <c r="B147" s="87" t="s">
        <v>208</v>
      </c>
      <c r="C147" s="87" t="s">
        <v>209</v>
      </c>
      <c r="D147" s="88" t="s">
        <v>535</v>
      </c>
      <c r="E147" s="83">
        <v>31.11</v>
      </c>
      <c r="F147" s="83">
        <v>207.27</v>
      </c>
      <c r="G147" s="83">
        <f t="shared" si="2"/>
        <v>6448.1697</v>
      </c>
    </row>
    <row r="148" spans="1:9" s="170" customFormat="1" ht="15">
      <c r="A148" s="185">
        <v>18012000</v>
      </c>
      <c r="B148" s="186" t="s">
        <v>210</v>
      </c>
      <c r="C148" s="186" t="s">
        <v>718</v>
      </c>
      <c r="D148" s="187" t="s">
        <v>543</v>
      </c>
      <c r="E148" s="94">
        <v>14.96</v>
      </c>
      <c r="F148" s="94">
        <v>12.04</v>
      </c>
      <c r="G148" s="83">
        <f t="shared" si="2"/>
        <v>180.1184</v>
      </c>
      <c r="I148" s="150"/>
    </row>
    <row r="149" spans="1:9" s="170" customFormat="1" ht="25.5">
      <c r="A149" s="182">
        <v>18013000</v>
      </c>
      <c r="B149" s="188" t="s">
        <v>211</v>
      </c>
      <c r="C149" s="188" t="s">
        <v>212</v>
      </c>
      <c r="D149" s="189" t="s">
        <v>535</v>
      </c>
      <c r="E149" s="95">
        <v>14.96</v>
      </c>
      <c r="F149" s="95">
        <v>12.69</v>
      </c>
      <c r="G149" s="83">
        <f t="shared" si="2"/>
        <v>189.8424</v>
      </c>
      <c r="I149" s="150"/>
    </row>
    <row r="150" spans="1:9" s="170" customFormat="1" ht="25.5">
      <c r="A150" s="185">
        <v>18014000</v>
      </c>
      <c r="B150" s="168" t="s">
        <v>715</v>
      </c>
      <c r="C150" s="168" t="s">
        <v>716</v>
      </c>
      <c r="D150" s="169" t="s">
        <v>535</v>
      </c>
      <c r="E150" s="90">
        <v>14.96</v>
      </c>
      <c r="F150" s="90">
        <v>3.17</v>
      </c>
      <c r="G150" s="83">
        <f t="shared" si="2"/>
        <v>47.4232</v>
      </c>
      <c r="I150" s="150"/>
    </row>
    <row r="151" spans="1:7" ht="14.25" customHeight="1">
      <c r="A151" s="181">
        <v>19000000</v>
      </c>
      <c r="B151" s="160"/>
      <c r="C151" s="256" t="s">
        <v>213</v>
      </c>
      <c r="D151" s="256"/>
      <c r="E151" s="256"/>
      <c r="F151" s="256"/>
      <c r="G151" s="161">
        <f>SUM(G152:G192)</f>
        <v>4917.877399999999</v>
      </c>
    </row>
    <row r="152" spans="1:7" ht="25.5">
      <c r="A152" s="182">
        <v>19001000</v>
      </c>
      <c r="B152" s="87">
        <v>72434</v>
      </c>
      <c r="C152" s="87" t="s">
        <v>214</v>
      </c>
      <c r="D152" s="87" t="s">
        <v>532</v>
      </c>
      <c r="E152" s="49">
        <v>2</v>
      </c>
      <c r="F152" s="49">
        <v>4.09</v>
      </c>
      <c r="G152" s="190">
        <f>F152*E152</f>
        <v>8.18</v>
      </c>
    </row>
    <row r="153" spans="1:7" ht="25.5">
      <c r="A153" s="182">
        <v>19002000</v>
      </c>
      <c r="B153" s="87">
        <v>72439</v>
      </c>
      <c r="C153" s="87" t="s">
        <v>215</v>
      </c>
      <c r="D153" s="87" t="s">
        <v>532</v>
      </c>
      <c r="E153" s="49">
        <v>6</v>
      </c>
      <c r="F153" s="49">
        <v>3.76</v>
      </c>
      <c r="G153" s="190">
        <f aca="true" t="shared" si="3" ref="G153:G192">F153*E153</f>
        <v>22.56</v>
      </c>
    </row>
    <row r="154" spans="1:7" ht="25.5">
      <c r="A154" s="182">
        <v>19003000</v>
      </c>
      <c r="B154" s="87">
        <v>72440</v>
      </c>
      <c r="C154" s="87" t="s">
        <v>216</v>
      </c>
      <c r="D154" s="87" t="s">
        <v>532</v>
      </c>
      <c r="E154" s="49">
        <v>2</v>
      </c>
      <c r="F154" s="49">
        <v>5.22</v>
      </c>
      <c r="G154" s="190">
        <f t="shared" si="3"/>
        <v>10.44</v>
      </c>
    </row>
    <row r="155" spans="1:7" ht="25.5">
      <c r="A155" s="182">
        <v>19004000</v>
      </c>
      <c r="B155" s="87">
        <v>72442</v>
      </c>
      <c r="C155" s="87" t="s">
        <v>217</v>
      </c>
      <c r="D155" s="87" t="s">
        <v>532</v>
      </c>
      <c r="E155" s="49">
        <v>1</v>
      </c>
      <c r="F155" s="49">
        <v>9.94</v>
      </c>
      <c r="G155" s="190">
        <f t="shared" si="3"/>
        <v>9.94</v>
      </c>
    </row>
    <row r="156" spans="1:7" ht="25.5">
      <c r="A156" s="182">
        <v>19005000</v>
      </c>
      <c r="B156" s="87">
        <v>72573</v>
      </c>
      <c r="C156" s="87" t="s">
        <v>218</v>
      </c>
      <c r="D156" s="87" t="s">
        <v>532</v>
      </c>
      <c r="E156" s="49">
        <v>13</v>
      </c>
      <c r="F156" s="49">
        <v>3.47</v>
      </c>
      <c r="G156" s="190">
        <f t="shared" si="3"/>
        <v>45.11</v>
      </c>
    </row>
    <row r="157" spans="1:7" ht="25.5">
      <c r="A157" s="182">
        <v>19006000</v>
      </c>
      <c r="B157" s="87">
        <v>72574</v>
      </c>
      <c r="C157" s="87" t="s">
        <v>219</v>
      </c>
      <c r="D157" s="87" t="s">
        <v>532</v>
      </c>
      <c r="E157" s="49">
        <v>1</v>
      </c>
      <c r="F157" s="49">
        <v>3.97</v>
      </c>
      <c r="G157" s="190">
        <f t="shared" si="3"/>
        <v>3.97</v>
      </c>
    </row>
    <row r="158" spans="1:7" ht="25.5">
      <c r="A158" s="182">
        <v>19007000</v>
      </c>
      <c r="B158" s="87">
        <v>72575</v>
      </c>
      <c r="C158" s="87" t="s">
        <v>220</v>
      </c>
      <c r="D158" s="87" t="s">
        <v>532</v>
      </c>
      <c r="E158" s="49">
        <v>2</v>
      </c>
      <c r="F158" s="49">
        <v>4.27</v>
      </c>
      <c r="G158" s="190">
        <f t="shared" si="3"/>
        <v>8.54</v>
      </c>
    </row>
    <row r="159" spans="1:7" ht="25.5">
      <c r="A159" s="182">
        <v>19008000</v>
      </c>
      <c r="B159" s="87">
        <v>72643</v>
      </c>
      <c r="C159" s="87" t="s">
        <v>221</v>
      </c>
      <c r="D159" s="87" t="s">
        <v>532</v>
      </c>
      <c r="E159" s="49">
        <v>10</v>
      </c>
      <c r="F159" s="49">
        <v>2.14</v>
      </c>
      <c r="G159" s="190">
        <f t="shared" si="3"/>
        <v>21.400000000000002</v>
      </c>
    </row>
    <row r="160" spans="1:7" ht="25.5">
      <c r="A160" s="182">
        <v>19009000</v>
      </c>
      <c r="B160" s="87">
        <v>72703</v>
      </c>
      <c r="C160" s="87" t="s">
        <v>222</v>
      </c>
      <c r="D160" s="87" t="s">
        <v>532</v>
      </c>
      <c r="E160" s="49">
        <v>5</v>
      </c>
      <c r="F160" s="49">
        <v>4.85</v>
      </c>
      <c r="G160" s="190">
        <f t="shared" si="3"/>
        <v>24.25</v>
      </c>
    </row>
    <row r="161" spans="1:7" ht="25.5">
      <c r="A161" s="182">
        <v>19010000</v>
      </c>
      <c r="B161" s="87">
        <v>72784</v>
      </c>
      <c r="C161" s="87" t="s">
        <v>223</v>
      </c>
      <c r="D161" s="87" t="s">
        <v>532</v>
      </c>
      <c r="E161" s="49">
        <v>2</v>
      </c>
      <c r="F161" s="49">
        <v>8.13</v>
      </c>
      <c r="G161" s="190">
        <f t="shared" si="3"/>
        <v>16.26</v>
      </c>
    </row>
    <row r="162" spans="1:7" ht="25.5">
      <c r="A162" s="182">
        <v>19011000</v>
      </c>
      <c r="B162" s="87">
        <v>72785</v>
      </c>
      <c r="C162" s="87" t="s">
        <v>224</v>
      </c>
      <c r="D162" s="87" t="s">
        <v>532</v>
      </c>
      <c r="E162" s="49">
        <v>4</v>
      </c>
      <c r="F162" s="49">
        <v>13.08</v>
      </c>
      <c r="G162" s="190">
        <f t="shared" si="3"/>
        <v>52.32</v>
      </c>
    </row>
    <row r="163" spans="1:7" ht="25.5">
      <c r="A163" s="182">
        <v>19012000</v>
      </c>
      <c r="B163" s="87">
        <v>72787</v>
      </c>
      <c r="C163" s="87" t="s">
        <v>225</v>
      </c>
      <c r="D163" s="87" t="s">
        <v>532</v>
      </c>
      <c r="E163" s="49">
        <v>2</v>
      </c>
      <c r="F163" s="49">
        <v>17.97</v>
      </c>
      <c r="G163" s="190">
        <f t="shared" si="3"/>
        <v>35.94</v>
      </c>
    </row>
    <row r="164" spans="1:7" ht="25.5">
      <c r="A164" s="182">
        <v>19013000</v>
      </c>
      <c r="B164" s="87">
        <v>73636</v>
      </c>
      <c r="C164" s="87" t="s">
        <v>226</v>
      </c>
      <c r="D164" s="87" t="s">
        <v>532</v>
      </c>
      <c r="E164" s="49">
        <v>2</v>
      </c>
      <c r="F164" s="49">
        <v>9.15</v>
      </c>
      <c r="G164" s="190">
        <f t="shared" si="3"/>
        <v>18.3</v>
      </c>
    </row>
    <row r="165" spans="1:7" ht="25.5">
      <c r="A165" s="182">
        <v>19014000</v>
      </c>
      <c r="B165" s="87">
        <v>73642</v>
      </c>
      <c r="C165" s="87" t="s">
        <v>227</v>
      </c>
      <c r="D165" s="87" t="s">
        <v>532</v>
      </c>
      <c r="E165" s="49">
        <v>19</v>
      </c>
      <c r="F165" s="49">
        <v>6.86</v>
      </c>
      <c r="G165" s="190">
        <f t="shared" si="3"/>
        <v>130.34</v>
      </c>
    </row>
    <row r="166" spans="1:7" ht="25.5">
      <c r="A166" s="182">
        <v>19015000</v>
      </c>
      <c r="B166" s="87">
        <v>73643</v>
      </c>
      <c r="C166" s="87" t="s">
        <v>228</v>
      </c>
      <c r="D166" s="87" t="s">
        <v>532</v>
      </c>
      <c r="E166" s="49">
        <v>5</v>
      </c>
      <c r="F166" s="49">
        <v>5.01</v>
      </c>
      <c r="G166" s="190">
        <f t="shared" si="3"/>
        <v>25.049999999999997</v>
      </c>
    </row>
    <row r="167" spans="1:7" ht="25.5">
      <c r="A167" s="182">
        <v>19016000</v>
      </c>
      <c r="B167" s="87">
        <v>73647</v>
      </c>
      <c r="C167" s="87" t="s">
        <v>229</v>
      </c>
      <c r="D167" s="87" t="s">
        <v>532</v>
      </c>
      <c r="E167" s="49">
        <v>1</v>
      </c>
      <c r="F167" s="49">
        <v>4.67</v>
      </c>
      <c r="G167" s="190">
        <f t="shared" si="3"/>
        <v>4.67</v>
      </c>
    </row>
    <row r="168" spans="1:7" ht="25.5">
      <c r="A168" s="182">
        <v>19017000</v>
      </c>
      <c r="B168" s="87" t="s">
        <v>230</v>
      </c>
      <c r="C168" s="87" t="s">
        <v>231</v>
      </c>
      <c r="D168" s="87" t="s">
        <v>574</v>
      </c>
      <c r="E168" s="49">
        <v>0.28</v>
      </c>
      <c r="F168" s="49">
        <v>5.78</v>
      </c>
      <c r="G168" s="190">
        <f t="shared" si="3"/>
        <v>1.6184000000000003</v>
      </c>
    </row>
    <row r="169" spans="1:7" ht="25.5">
      <c r="A169" s="182">
        <v>19018000</v>
      </c>
      <c r="B169" s="87" t="s">
        <v>232</v>
      </c>
      <c r="C169" s="87" t="s">
        <v>233</v>
      </c>
      <c r="D169" s="87" t="s">
        <v>574</v>
      </c>
      <c r="E169" s="49">
        <v>6.51</v>
      </c>
      <c r="F169" s="49">
        <v>9.29</v>
      </c>
      <c r="G169" s="190">
        <f t="shared" si="3"/>
        <v>60.47789999999999</v>
      </c>
    </row>
    <row r="170" spans="1:7" ht="25.5">
      <c r="A170" s="182">
        <v>19019000</v>
      </c>
      <c r="B170" s="87" t="s">
        <v>234</v>
      </c>
      <c r="C170" s="87" t="s">
        <v>235</v>
      </c>
      <c r="D170" s="87" t="s">
        <v>532</v>
      </c>
      <c r="E170" s="49">
        <v>5</v>
      </c>
      <c r="F170" s="49">
        <v>46.79</v>
      </c>
      <c r="G170" s="190">
        <f t="shared" si="3"/>
        <v>233.95</v>
      </c>
    </row>
    <row r="171" spans="1:7" ht="25.5">
      <c r="A171" s="182">
        <v>19020000</v>
      </c>
      <c r="B171" s="87" t="s">
        <v>236</v>
      </c>
      <c r="C171" s="87" t="s">
        <v>237</v>
      </c>
      <c r="D171" s="87" t="s">
        <v>532</v>
      </c>
      <c r="E171" s="49">
        <v>2</v>
      </c>
      <c r="F171" s="49">
        <v>37.01</v>
      </c>
      <c r="G171" s="190">
        <f t="shared" si="3"/>
        <v>74.02</v>
      </c>
    </row>
    <row r="172" spans="1:7" ht="25.5">
      <c r="A172" s="182">
        <v>19021000</v>
      </c>
      <c r="B172" s="87" t="s">
        <v>238</v>
      </c>
      <c r="C172" s="87" t="s">
        <v>239</v>
      </c>
      <c r="D172" s="87" t="s">
        <v>532</v>
      </c>
      <c r="E172" s="49">
        <v>7</v>
      </c>
      <c r="F172" s="49">
        <v>52.49</v>
      </c>
      <c r="G172" s="190">
        <f t="shared" si="3"/>
        <v>367.43</v>
      </c>
    </row>
    <row r="173" spans="1:7" ht="25.5">
      <c r="A173" s="182">
        <v>19022000</v>
      </c>
      <c r="B173" s="87" t="s">
        <v>240</v>
      </c>
      <c r="C173" s="87" t="s">
        <v>241</v>
      </c>
      <c r="D173" s="87" t="s">
        <v>532</v>
      </c>
      <c r="E173" s="49">
        <v>2</v>
      </c>
      <c r="F173" s="49">
        <v>58.16</v>
      </c>
      <c r="G173" s="190">
        <f t="shared" si="3"/>
        <v>116.32</v>
      </c>
    </row>
    <row r="174" spans="1:7" ht="25.5">
      <c r="A174" s="182">
        <v>19023000</v>
      </c>
      <c r="B174" s="87" t="s">
        <v>242</v>
      </c>
      <c r="C174" s="87" t="s">
        <v>243</v>
      </c>
      <c r="D174" s="87" t="s">
        <v>532</v>
      </c>
      <c r="E174" s="49">
        <v>3</v>
      </c>
      <c r="F174" s="49">
        <v>34.66</v>
      </c>
      <c r="G174" s="190">
        <f t="shared" si="3"/>
        <v>103.97999999999999</v>
      </c>
    </row>
    <row r="175" spans="1:7" ht="25.5">
      <c r="A175" s="182">
        <v>19024000</v>
      </c>
      <c r="B175" s="87" t="s">
        <v>244</v>
      </c>
      <c r="C175" s="87" t="s">
        <v>245</v>
      </c>
      <c r="D175" s="87" t="s">
        <v>532</v>
      </c>
      <c r="E175" s="49">
        <v>2</v>
      </c>
      <c r="F175" s="49">
        <v>27.1</v>
      </c>
      <c r="G175" s="190">
        <f t="shared" si="3"/>
        <v>54.2</v>
      </c>
    </row>
    <row r="176" spans="1:7" ht="25.5">
      <c r="A176" s="182">
        <v>19025000</v>
      </c>
      <c r="B176" s="87" t="s">
        <v>343</v>
      </c>
      <c r="C176" s="87" t="s">
        <v>246</v>
      </c>
      <c r="D176" s="87" t="s">
        <v>574</v>
      </c>
      <c r="E176" s="49">
        <f>237.68+10.09</f>
        <v>247.77</v>
      </c>
      <c r="F176" s="49">
        <v>3.85</v>
      </c>
      <c r="G176" s="190">
        <f t="shared" si="3"/>
        <v>953.9145000000001</v>
      </c>
    </row>
    <row r="177" spans="1:7" ht="25.5">
      <c r="A177" s="182">
        <v>19026000</v>
      </c>
      <c r="B177" s="87" t="s">
        <v>344</v>
      </c>
      <c r="C177" s="87" t="s">
        <v>247</v>
      </c>
      <c r="D177" s="87" t="s">
        <v>574</v>
      </c>
      <c r="E177" s="49">
        <v>3</v>
      </c>
      <c r="F177" s="49">
        <v>6.56</v>
      </c>
      <c r="G177" s="190">
        <f t="shared" si="3"/>
        <v>19.68</v>
      </c>
    </row>
    <row r="178" spans="1:7" ht="25.5">
      <c r="A178" s="182">
        <v>19027000</v>
      </c>
      <c r="B178" s="87" t="s">
        <v>345</v>
      </c>
      <c r="C178" s="87" t="s">
        <v>248</v>
      </c>
      <c r="D178" s="87" t="s">
        <v>574</v>
      </c>
      <c r="E178" s="49">
        <v>12</v>
      </c>
      <c r="F178" s="49">
        <v>10.99</v>
      </c>
      <c r="G178" s="190">
        <f t="shared" si="3"/>
        <v>131.88</v>
      </c>
    </row>
    <row r="179" spans="1:7" ht="15">
      <c r="A179" s="182">
        <v>19028000</v>
      </c>
      <c r="B179" s="87" t="s">
        <v>249</v>
      </c>
      <c r="C179" s="87" t="s">
        <v>250</v>
      </c>
      <c r="D179" s="87" t="s">
        <v>532</v>
      </c>
      <c r="E179" s="49">
        <v>16</v>
      </c>
      <c r="F179" s="49">
        <v>2.8</v>
      </c>
      <c r="G179" s="190">
        <f t="shared" si="3"/>
        <v>44.8</v>
      </c>
    </row>
    <row r="180" spans="1:7" ht="15">
      <c r="A180" s="182">
        <v>19029000</v>
      </c>
      <c r="B180" s="87" t="s">
        <v>251</v>
      </c>
      <c r="C180" s="87" t="s">
        <v>252</v>
      </c>
      <c r="D180" s="87" t="s">
        <v>532</v>
      </c>
      <c r="E180" s="49">
        <v>3</v>
      </c>
      <c r="F180" s="49">
        <v>6.65</v>
      </c>
      <c r="G180" s="190">
        <f t="shared" si="3"/>
        <v>19.950000000000003</v>
      </c>
    </row>
    <row r="181" spans="1:7" ht="15">
      <c r="A181" s="182">
        <v>19030000</v>
      </c>
      <c r="B181" s="87" t="s">
        <v>253</v>
      </c>
      <c r="C181" s="87" t="s">
        <v>254</v>
      </c>
      <c r="D181" s="87" t="s">
        <v>532</v>
      </c>
      <c r="E181" s="49">
        <v>7</v>
      </c>
      <c r="F181" s="49">
        <v>4.04</v>
      </c>
      <c r="G181" s="190">
        <f t="shared" si="3"/>
        <v>28.28</v>
      </c>
    </row>
    <row r="182" spans="1:7" ht="15">
      <c r="A182" s="182">
        <v>19031000</v>
      </c>
      <c r="B182" s="87" t="s">
        <v>255</v>
      </c>
      <c r="C182" s="87" t="s">
        <v>256</v>
      </c>
      <c r="D182" s="87" t="s">
        <v>532</v>
      </c>
      <c r="E182" s="49">
        <v>1</v>
      </c>
      <c r="F182" s="49">
        <v>12.02</v>
      </c>
      <c r="G182" s="190">
        <f t="shared" si="3"/>
        <v>12.02</v>
      </c>
    </row>
    <row r="183" spans="1:7" ht="15">
      <c r="A183" s="182">
        <v>19032000</v>
      </c>
      <c r="B183" s="87" t="s">
        <v>323</v>
      </c>
      <c r="C183" s="87" t="s">
        <v>257</v>
      </c>
      <c r="D183" s="87" t="s">
        <v>532</v>
      </c>
      <c r="E183" s="49">
        <v>2</v>
      </c>
      <c r="F183" s="49">
        <v>505.28</v>
      </c>
      <c r="G183" s="190">
        <f t="shared" si="3"/>
        <v>1010.56</v>
      </c>
    </row>
    <row r="184" spans="1:7" ht="25.5">
      <c r="A184" s="182">
        <v>19033000</v>
      </c>
      <c r="B184" s="87" t="s">
        <v>258</v>
      </c>
      <c r="C184" s="87" t="s">
        <v>259</v>
      </c>
      <c r="D184" s="87" t="s">
        <v>532</v>
      </c>
      <c r="E184" s="49">
        <v>1</v>
      </c>
      <c r="F184" s="49">
        <v>10.8</v>
      </c>
      <c r="G184" s="190">
        <f t="shared" si="3"/>
        <v>10.8</v>
      </c>
    </row>
    <row r="185" spans="1:7" ht="15">
      <c r="A185" s="182">
        <v>19034000</v>
      </c>
      <c r="B185" s="87" t="s">
        <v>324</v>
      </c>
      <c r="C185" s="87" t="s">
        <v>260</v>
      </c>
      <c r="D185" s="87" t="s">
        <v>532</v>
      </c>
      <c r="E185" s="49">
        <v>1</v>
      </c>
      <c r="F185" s="49">
        <v>38.45</v>
      </c>
      <c r="G185" s="190">
        <f t="shared" si="3"/>
        <v>38.45</v>
      </c>
    </row>
    <row r="186" spans="1:7" ht="15">
      <c r="A186" s="182">
        <v>19035000</v>
      </c>
      <c r="B186" s="87" t="s">
        <v>261</v>
      </c>
      <c r="C186" s="87" t="s">
        <v>262</v>
      </c>
      <c r="D186" s="87" t="s">
        <v>532</v>
      </c>
      <c r="E186" s="49">
        <v>1</v>
      </c>
      <c r="F186" s="49">
        <v>19.69</v>
      </c>
      <c r="G186" s="190">
        <f t="shared" si="3"/>
        <v>19.69</v>
      </c>
    </row>
    <row r="187" spans="1:7" ht="15">
      <c r="A187" s="182">
        <v>19036000</v>
      </c>
      <c r="B187" s="87" t="s">
        <v>325</v>
      </c>
      <c r="C187" s="87" t="s">
        <v>263</v>
      </c>
      <c r="D187" s="87" t="s">
        <v>546</v>
      </c>
      <c r="E187" s="49">
        <v>16.46</v>
      </c>
      <c r="F187" s="49">
        <v>32.71</v>
      </c>
      <c r="G187" s="190">
        <f t="shared" si="3"/>
        <v>538.4066</v>
      </c>
    </row>
    <row r="188" spans="1:7" ht="51">
      <c r="A188" s="182">
        <v>19037000</v>
      </c>
      <c r="B188" s="87" t="s">
        <v>264</v>
      </c>
      <c r="C188" s="87" t="s">
        <v>265</v>
      </c>
      <c r="D188" s="87" t="s">
        <v>532</v>
      </c>
      <c r="E188" s="49">
        <v>5</v>
      </c>
      <c r="F188" s="49">
        <v>123.88</v>
      </c>
      <c r="G188" s="190">
        <f t="shared" si="3"/>
        <v>619.4</v>
      </c>
    </row>
    <row r="189" spans="1:7" ht="25.5">
      <c r="A189" s="182">
        <v>19038000</v>
      </c>
      <c r="B189" s="87">
        <v>73648</v>
      </c>
      <c r="C189" s="87" t="s">
        <v>266</v>
      </c>
      <c r="D189" s="87" t="s">
        <v>532</v>
      </c>
      <c r="E189" s="49">
        <v>1</v>
      </c>
      <c r="F189" s="49">
        <v>3.21</v>
      </c>
      <c r="G189" s="190">
        <f t="shared" si="3"/>
        <v>3.21</v>
      </c>
    </row>
    <row r="190" spans="1:7" ht="25.5">
      <c r="A190" s="182">
        <v>19039000</v>
      </c>
      <c r="B190" s="87">
        <v>72704</v>
      </c>
      <c r="C190" s="87" t="s">
        <v>267</v>
      </c>
      <c r="D190" s="87" t="s">
        <v>532</v>
      </c>
      <c r="E190" s="49">
        <v>1</v>
      </c>
      <c r="F190" s="49">
        <v>5.86</v>
      </c>
      <c r="G190" s="190">
        <f t="shared" si="3"/>
        <v>5.86</v>
      </c>
    </row>
    <row r="191" spans="1:7" ht="25.5">
      <c r="A191" s="182">
        <v>19040000</v>
      </c>
      <c r="B191" s="87">
        <v>72575</v>
      </c>
      <c r="C191" s="87" t="s">
        <v>268</v>
      </c>
      <c r="D191" s="87" t="s">
        <v>532</v>
      </c>
      <c r="E191" s="49">
        <v>1</v>
      </c>
      <c r="F191" s="49">
        <v>4.27</v>
      </c>
      <c r="G191" s="190">
        <f t="shared" si="3"/>
        <v>4.27</v>
      </c>
    </row>
    <row r="192" spans="1:7" ht="28.5" customHeight="1">
      <c r="A192" s="182">
        <v>19041000</v>
      </c>
      <c r="B192" s="87">
        <v>72579</v>
      </c>
      <c r="C192" s="87" t="s">
        <v>269</v>
      </c>
      <c r="D192" s="87" t="s">
        <v>532</v>
      </c>
      <c r="E192" s="49">
        <v>1</v>
      </c>
      <c r="F192" s="49">
        <v>7.44</v>
      </c>
      <c r="G192" s="190">
        <f t="shared" si="3"/>
        <v>7.44</v>
      </c>
    </row>
    <row r="193" spans="1:7" ht="14.25" customHeight="1">
      <c r="A193" s="181">
        <v>20000000</v>
      </c>
      <c r="B193" s="160"/>
      <c r="C193" s="256" t="s">
        <v>270</v>
      </c>
      <c r="D193" s="256"/>
      <c r="E193" s="256"/>
      <c r="F193" s="256"/>
      <c r="G193" s="161">
        <f>SUM(G194:G218)</f>
        <v>7525.8886999999995</v>
      </c>
    </row>
    <row r="194" spans="1:7" ht="25.5">
      <c r="A194" s="182">
        <v>20001000</v>
      </c>
      <c r="B194" s="87">
        <v>40777</v>
      </c>
      <c r="C194" s="87" t="s">
        <v>750</v>
      </c>
      <c r="D194" s="88" t="s">
        <v>532</v>
      </c>
      <c r="E194" s="83">
        <v>3</v>
      </c>
      <c r="F194" s="83">
        <v>25.69</v>
      </c>
      <c r="G194" s="83">
        <f>F194*E194</f>
        <v>77.07000000000001</v>
      </c>
    </row>
    <row r="195" spans="1:7" ht="25.5">
      <c r="A195" s="182">
        <v>20002000</v>
      </c>
      <c r="B195" s="87" t="s">
        <v>751</v>
      </c>
      <c r="C195" s="87" t="s">
        <v>752</v>
      </c>
      <c r="D195" s="88" t="s">
        <v>574</v>
      </c>
      <c r="E195" s="83">
        <v>55.93</v>
      </c>
      <c r="F195" s="83">
        <v>20.15</v>
      </c>
      <c r="G195" s="83">
        <f aca="true" t="shared" si="4" ref="G195:G258">F195*E195</f>
        <v>1126.9895</v>
      </c>
    </row>
    <row r="196" spans="1:7" ht="25.5">
      <c r="A196" s="182">
        <v>20003000</v>
      </c>
      <c r="B196" s="87">
        <v>72292</v>
      </c>
      <c r="C196" s="87" t="s">
        <v>753</v>
      </c>
      <c r="D196" s="88" t="s">
        <v>532</v>
      </c>
      <c r="E196" s="83">
        <v>3</v>
      </c>
      <c r="F196" s="83">
        <v>25.7</v>
      </c>
      <c r="G196" s="83">
        <f t="shared" si="4"/>
        <v>77.1</v>
      </c>
    </row>
    <row r="197" spans="1:7" ht="25.5">
      <c r="A197" s="182">
        <v>20004000</v>
      </c>
      <c r="B197" s="87">
        <v>72463</v>
      </c>
      <c r="C197" s="87" t="s">
        <v>754</v>
      </c>
      <c r="D197" s="88" t="s">
        <v>532</v>
      </c>
      <c r="E197" s="83">
        <v>7</v>
      </c>
      <c r="F197" s="83">
        <v>9.13</v>
      </c>
      <c r="G197" s="83">
        <f t="shared" si="4"/>
        <v>63.910000000000004</v>
      </c>
    </row>
    <row r="198" spans="1:7" ht="25.5">
      <c r="A198" s="182">
        <v>20005000</v>
      </c>
      <c r="B198" s="87">
        <v>72541</v>
      </c>
      <c r="C198" s="87" t="s">
        <v>755</v>
      </c>
      <c r="D198" s="88" t="s">
        <v>532</v>
      </c>
      <c r="E198" s="83">
        <v>7</v>
      </c>
      <c r="F198" s="83">
        <v>16.82</v>
      </c>
      <c r="G198" s="83">
        <f t="shared" si="4"/>
        <v>117.74000000000001</v>
      </c>
    </row>
    <row r="199" spans="1:7" ht="25.5">
      <c r="A199" s="182">
        <v>20006000</v>
      </c>
      <c r="B199" s="87">
        <v>72542</v>
      </c>
      <c r="C199" s="87" t="s">
        <v>756</v>
      </c>
      <c r="D199" s="88" t="s">
        <v>532</v>
      </c>
      <c r="E199" s="83">
        <v>18</v>
      </c>
      <c r="F199" s="83">
        <v>27.78</v>
      </c>
      <c r="G199" s="83">
        <f t="shared" si="4"/>
        <v>500.04</v>
      </c>
    </row>
    <row r="200" spans="1:7" ht="25.5">
      <c r="A200" s="182">
        <v>20007000</v>
      </c>
      <c r="B200" s="87">
        <v>72543</v>
      </c>
      <c r="C200" s="87" t="s">
        <v>757</v>
      </c>
      <c r="D200" s="88" t="s">
        <v>532</v>
      </c>
      <c r="E200" s="83">
        <v>8</v>
      </c>
      <c r="F200" s="83">
        <v>28.21</v>
      </c>
      <c r="G200" s="83">
        <f t="shared" si="4"/>
        <v>225.68</v>
      </c>
    </row>
    <row r="201" spans="1:7" ht="25.5">
      <c r="A201" s="182">
        <v>20008000</v>
      </c>
      <c r="B201" s="87">
        <v>72544</v>
      </c>
      <c r="C201" s="87" t="s">
        <v>758</v>
      </c>
      <c r="D201" s="88" t="s">
        <v>532</v>
      </c>
      <c r="E201" s="83">
        <v>4</v>
      </c>
      <c r="F201" s="83">
        <v>8.75</v>
      </c>
      <c r="G201" s="83">
        <f t="shared" si="4"/>
        <v>35</v>
      </c>
    </row>
    <row r="202" spans="1:7" ht="25.5">
      <c r="A202" s="182">
        <v>20009000</v>
      </c>
      <c r="B202" s="87">
        <v>72545</v>
      </c>
      <c r="C202" s="87" t="s">
        <v>759</v>
      </c>
      <c r="D202" s="88" t="s">
        <v>532</v>
      </c>
      <c r="E202" s="83">
        <v>1</v>
      </c>
      <c r="F202" s="83">
        <v>7.36</v>
      </c>
      <c r="G202" s="83">
        <f t="shared" si="4"/>
        <v>7.36</v>
      </c>
    </row>
    <row r="203" spans="1:7" ht="25.5">
      <c r="A203" s="182">
        <v>20010000</v>
      </c>
      <c r="B203" s="87">
        <v>72546</v>
      </c>
      <c r="C203" s="87" t="s">
        <v>760</v>
      </c>
      <c r="D203" s="88" t="s">
        <v>532</v>
      </c>
      <c r="E203" s="83">
        <v>3</v>
      </c>
      <c r="F203" s="83">
        <v>12.67</v>
      </c>
      <c r="G203" s="83">
        <f t="shared" si="4"/>
        <v>38.01</v>
      </c>
    </row>
    <row r="204" spans="1:7" ht="25.5">
      <c r="A204" s="182">
        <v>20011000</v>
      </c>
      <c r="B204" s="87">
        <v>72547</v>
      </c>
      <c r="C204" s="87" t="s">
        <v>761</v>
      </c>
      <c r="D204" s="88" t="s">
        <v>532</v>
      </c>
      <c r="E204" s="83">
        <v>8</v>
      </c>
      <c r="F204" s="83">
        <v>4.28</v>
      </c>
      <c r="G204" s="83">
        <f t="shared" si="4"/>
        <v>34.24</v>
      </c>
    </row>
    <row r="205" spans="1:7" ht="15">
      <c r="A205" s="182">
        <v>20012000</v>
      </c>
      <c r="B205" s="87">
        <v>72556</v>
      </c>
      <c r="C205" s="87" t="s">
        <v>762</v>
      </c>
      <c r="D205" s="88" t="s">
        <v>532</v>
      </c>
      <c r="E205" s="83">
        <v>6</v>
      </c>
      <c r="F205" s="83">
        <v>13.53</v>
      </c>
      <c r="G205" s="83">
        <f t="shared" si="4"/>
        <v>81.17999999999999</v>
      </c>
    </row>
    <row r="206" spans="1:7" ht="15">
      <c r="A206" s="182">
        <v>20013000</v>
      </c>
      <c r="B206" s="87">
        <v>72560</v>
      </c>
      <c r="C206" s="87" t="s">
        <v>763</v>
      </c>
      <c r="D206" s="88" t="s">
        <v>532</v>
      </c>
      <c r="E206" s="83">
        <v>8</v>
      </c>
      <c r="F206" s="83">
        <v>6.37</v>
      </c>
      <c r="G206" s="83">
        <f t="shared" si="4"/>
        <v>50.96</v>
      </c>
    </row>
    <row r="207" spans="1:7" ht="15">
      <c r="A207" s="182">
        <v>20014000</v>
      </c>
      <c r="B207" s="87">
        <v>72603</v>
      </c>
      <c r="C207" s="87" t="s">
        <v>764</v>
      </c>
      <c r="D207" s="88" t="s">
        <v>532</v>
      </c>
      <c r="E207" s="83">
        <v>2</v>
      </c>
      <c r="F207" s="83">
        <v>21.17</v>
      </c>
      <c r="G207" s="83">
        <f t="shared" si="4"/>
        <v>42.34</v>
      </c>
    </row>
    <row r="208" spans="1:7" ht="15">
      <c r="A208" s="182">
        <v>20015000</v>
      </c>
      <c r="B208" s="87">
        <v>72604</v>
      </c>
      <c r="C208" s="87" t="s">
        <v>765</v>
      </c>
      <c r="D208" s="88" t="s">
        <v>532</v>
      </c>
      <c r="E208" s="83">
        <v>1</v>
      </c>
      <c r="F208" s="83">
        <v>9.17</v>
      </c>
      <c r="G208" s="83">
        <f t="shared" si="4"/>
        <v>9.17</v>
      </c>
    </row>
    <row r="209" spans="1:7" ht="15">
      <c r="A209" s="182">
        <v>20016000</v>
      </c>
      <c r="B209" s="87">
        <v>72774</v>
      </c>
      <c r="C209" s="87" t="s">
        <v>766</v>
      </c>
      <c r="D209" s="88" t="s">
        <v>532</v>
      </c>
      <c r="E209" s="83">
        <v>6</v>
      </c>
      <c r="F209" s="83">
        <v>19.28</v>
      </c>
      <c r="G209" s="83">
        <f t="shared" si="4"/>
        <v>115.68</v>
      </c>
    </row>
    <row r="210" spans="1:7" ht="25.5">
      <c r="A210" s="182">
        <v>20017000</v>
      </c>
      <c r="B210" s="87" t="s">
        <v>767</v>
      </c>
      <c r="C210" s="87" t="s">
        <v>768</v>
      </c>
      <c r="D210" s="88" t="s">
        <v>574</v>
      </c>
      <c r="E210" s="83">
        <f>7.57+6.51</f>
        <v>14.08</v>
      </c>
      <c r="F210" s="83">
        <v>6.02</v>
      </c>
      <c r="G210" s="83">
        <f t="shared" si="4"/>
        <v>84.7616</v>
      </c>
    </row>
    <row r="211" spans="1:7" ht="25.5">
      <c r="A211" s="182">
        <v>20018000</v>
      </c>
      <c r="B211" s="87" t="s">
        <v>232</v>
      </c>
      <c r="C211" s="87" t="s">
        <v>233</v>
      </c>
      <c r="D211" s="88" t="s">
        <v>574</v>
      </c>
      <c r="E211" s="83">
        <f>6.66+0.58</f>
        <v>7.24</v>
      </c>
      <c r="F211" s="83">
        <v>9.29</v>
      </c>
      <c r="G211" s="83">
        <f t="shared" si="4"/>
        <v>67.25959999999999</v>
      </c>
    </row>
    <row r="212" spans="1:7" ht="25.5">
      <c r="A212" s="182">
        <v>20019000</v>
      </c>
      <c r="B212" s="87" t="s">
        <v>769</v>
      </c>
      <c r="C212" s="87" t="s">
        <v>770</v>
      </c>
      <c r="D212" s="88" t="s">
        <v>574</v>
      </c>
      <c r="E212" s="83">
        <f>147+42.6</f>
        <v>189.6</v>
      </c>
      <c r="F212" s="83">
        <v>14.03</v>
      </c>
      <c r="G212" s="83">
        <f t="shared" si="4"/>
        <v>2660.0879999999997</v>
      </c>
    </row>
    <row r="213" spans="1:7" ht="25.5">
      <c r="A213" s="182">
        <v>20020000</v>
      </c>
      <c r="B213" s="87" t="s">
        <v>771</v>
      </c>
      <c r="C213" s="87" t="s">
        <v>772</v>
      </c>
      <c r="D213" s="88" t="s">
        <v>532</v>
      </c>
      <c r="E213" s="83">
        <v>12</v>
      </c>
      <c r="F213" s="83">
        <v>118.5</v>
      </c>
      <c r="G213" s="83">
        <f t="shared" si="4"/>
        <v>1422</v>
      </c>
    </row>
    <row r="214" spans="1:7" ht="15">
      <c r="A214" s="182">
        <v>20021000</v>
      </c>
      <c r="B214" s="87" t="s">
        <v>773</v>
      </c>
      <c r="C214" s="87" t="s">
        <v>774</v>
      </c>
      <c r="D214" s="88" t="s">
        <v>532</v>
      </c>
      <c r="E214" s="83">
        <v>1</v>
      </c>
      <c r="F214" s="83">
        <v>36.45</v>
      </c>
      <c r="G214" s="83">
        <f t="shared" si="4"/>
        <v>36.45</v>
      </c>
    </row>
    <row r="215" spans="1:7" ht="15">
      <c r="A215" s="182">
        <v>20022000</v>
      </c>
      <c r="B215" s="87">
        <v>75797</v>
      </c>
      <c r="C215" s="87" t="s">
        <v>775</v>
      </c>
      <c r="D215" s="88" t="s">
        <v>532</v>
      </c>
      <c r="E215" s="83">
        <v>9</v>
      </c>
      <c r="F215" s="83">
        <v>6.46</v>
      </c>
      <c r="G215" s="83">
        <f t="shared" si="4"/>
        <v>58.14</v>
      </c>
    </row>
    <row r="216" spans="1:7" ht="63.75">
      <c r="A216" s="182">
        <v>20023000</v>
      </c>
      <c r="B216" s="87" t="s">
        <v>776</v>
      </c>
      <c r="C216" s="87" t="s">
        <v>777</v>
      </c>
      <c r="D216" s="88" t="s">
        <v>532</v>
      </c>
      <c r="E216" s="83">
        <v>4</v>
      </c>
      <c r="F216" s="83">
        <v>99.24</v>
      </c>
      <c r="G216" s="83">
        <f t="shared" si="4"/>
        <v>396.96</v>
      </c>
    </row>
    <row r="217" spans="1:7" ht="63.75">
      <c r="A217" s="182">
        <v>20024000</v>
      </c>
      <c r="B217" s="87" t="s">
        <v>778</v>
      </c>
      <c r="C217" s="87" t="s">
        <v>779</v>
      </c>
      <c r="D217" s="88" t="s">
        <v>532</v>
      </c>
      <c r="E217" s="83">
        <v>2</v>
      </c>
      <c r="F217" s="83">
        <v>93.37</v>
      </c>
      <c r="G217" s="83">
        <f t="shared" si="4"/>
        <v>186.74</v>
      </c>
    </row>
    <row r="218" spans="1:7" ht="15">
      <c r="A218" s="182">
        <v>20025000</v>
      </c>
      <c r="B218" s="87">
        <v>72559</v>
      </c>
      <c r="C218" s="87" t="s">
        <v>780</v>
      </c>
      <c r="D218" s="88" t="s">
        <v>532</v>
      </c>
      <c r="E218" s="83">
        <v>2</v>
      </c>
      <c r="F218" s="83">
        <v>5.51</v>
      </c>
      <c r="G218" s="83">
        <f t="shared" si="4"/>
        <v>11.02</v>
      </c>
    </row>
    <row r="219" spans="1:7" ht="14.25" customHeight="1">
      <c r="A219" s="181">
        <v>21000000</v>
      </c>
      <c r="B219" s="160"/>
      <c r="C219" s="256" t="s">
        <v>781</v>
      </c>
      <c r="D219" s="256"/>
      <c r="E219" s="256"/>
      <c r="F219" s="256"/>
      <c r="G219" s="161">
        <f>SUM(G220:G227)</f>
        <v>1854.6485</v>
      </c>
    </row>
    <row r="220" spans="1:7" ht="25.5">
      <c r="A220" s="182">
        <v>21001000</v>
      </c>
      <c r="B220" s="87">
        <v>72463</v>
      </c>
      <c r="C220" s="87" t="s">
        <v>754</v>
      </c>
      <c r="D220" s="88" t="s">
        <v>532</v>
      </c>
      <c r="E220" s="83">
        <v>1</v>
      </c>
      <c r="F220" s="83">
        <v>9.13</v>
      </c>
      <c r="G220" s="83">
        <f t="shared" si="4"/>
        <v>9.13</v>
      </c>
    </row>
    <row r="221" spans="1:7" ht="25.5">
      <c r="A221" s="182">
        <v>21002000</v>
      </c>
      <c r="B221" s="87">
        <v>72544</v>
      </c>
      <c r="C221" s="87" t="s">
        <v>758</v>
      </c>
      <c r="D221" s="88" t="s">
        <v>532</v>
      </c>
      <c r="E221" s="83">
        <v>4</v>
      </c>
      <c r="F221" s="83">
        <v>8.75</v>
      </c>
      <c r="G221" s="83">
        <f t="shared" si="4"/>
        <v>35</v>
      </c>
    </row>
    <row r="222" spans="1:7" ht="25.5">
      <c r="A222" s="182">
        <v>21003000</v>
      </c>
      <c r="B222" s="87">
        <v>72545</v>
      </c>
      <c r="C222" s="87" t="s">
        <v>759</v>
      </c>
      <c r="D222" s="88" t="s">
        <v>532</v>
      </c>
      <c r="E222" s="83">
        <v>1</v>
      </c>
      <c r="F222" s="83">
        <v>7.36</v>
      </c>
      <c r="G222" s="83">
        <f t="shared" si="4"/>
        <v>7.36</v>
      </c>
    </row>
    <row r="223" spans="1:7" ht="15">
      <c r="A223" s="182">
        <v>21004000</v>
      </c>
      <c r="B223" s="87">
        <v>72560</v>
      </c>
      <c r="C223" s="87" t="s">
        <v>763</v>
      </c>
      <c r="D223" s="88" t="s">
        <v>532</v>
      </c>
      <c r="E223" s="83">
        <v>1</v>
      </c>
      <c r="F223" s="83">
        <v>6.37</v>
      </c>
      <c r="G223" s="83">
        <f t="shared" si="4"/>
        <v>6.37</v>
      </c>
    </row>
    <row r="224" spans="1:7" ht="15">
      <c r="A224" s="182">
        <v>21005000</v>
      </c>
      <c r="B224" s="87">
        <v>72604</v>
      </c>
      <c r="C224" s="87" t="s">
        <v>765</v>
      </c>
      <c r="D224" s="88" t="s">
        <v>532</v>
      </c>
      <c r="E224" s="83">
        <v>1</v>
      </c>
      <c r="F224" s="83">
        <v>9.17</v>
      </c>
      <c r="G224" s="83">
        <f t="shared" si="4"/>
        <v>9.17</v>
      </c>
    </row>
    <row r="225" spans="1:7" ht="25.5">
      <c r="A225" s="182">
        <v>21006000</v>
      </c>
      <c r="B225" s="87" t="s">
        <v>232</v>
      </c>
      <c r="C225" s="87" t="s">
        <v>233</v>
      </c>
      <c r="D225" s="88" t="s">
        <v>574</v>
      </c>
      <c r="E225" s="83">
        <v>16.9</v>
      </c>
      <c r="F225" s="83">
        <v>9.29</v>
      </c>
      <c r="G225" s="83">
        <f t="shared" si="4"/>
        <v>157.00099999999998</v>
      </c>
    </row>
    <row r="226" spans="1:7" ht="25.5">
      <c r="A226" s="182">
        <v>21007000</v>
      </c>
      <c r="B226" s="87" t="s">
        <v>769</v>
      </c>
      <c r="C226" s="87" t="s">
        <v>770</v>
      </c>
      <c r="D226" s="88" t="s">
        <v>574</v>
      </c>
      <c r="E226" s="83">
        <v>115.25</v>
      </c>
      <c r="F226" s="83">
        <v>14.03</v>
      </c>
      <c r="G226" s="83">
        <f t="shared" si="4"/>
        <v>1616.9575</v>
      </c>
    </row>
    <row r="227" spans="1:7" ht="15">
      <c r="A227" s="182">
        <v>21008000</v>
      </c>
      <c r="B227" s="164">
        <v>72561</v>
      </c>
      <c r="C227" s="164" t="s">
        <v>782</v>
      </c>
      <c r="D227" s="165" t="s">
        <v>539</v>
      </c>
      <c r="E227" s="86">
        <v>2</v>
      </c>
      <c r="F227" s="86">
        <v>6.83</v>
      </c>
      <c r="G227" s="83">
        <f t="shared" si="4"/>
        <v>13.66</v>
      </c>
    </row>
    <row r="228" spans="1:7" ht="14.25" customHeight="1">
      <c r="A228" s="181">
        <v>22000000</v>
      </c>
      <c r="B228" s="160"/>
      <c r="C228" s="256" t="s">
        <v>783</v>
      </c>
      <c r="D228" s="256"/>
      <c r="E228" s="256"/>
      <c r="F228" s="256"/>
      <c r="G228" s="161">
        <f>SUM(G229:G232)</f>
        <v>1369.35</v>
      </c>
    </row>
    <row r="229" spans="1:7" ht="51">
      <c r="A229" s="182">
        <v>22001000</v>
      </c>
      <c r="B229" s="87" t="s">
        <v>784</v>
      </c>
      <c r="C229" s="87" t="s">
        <v>786</v>
      </c>
      <c r="D229" s="88" t="s">
        <v>532</v>
      </c>
      <c r="E229" s="83">
        <v>13</v>
      </c>
      <c r="F229" s="83">
        <v>39.3</v>
      </c>
      <c r="G229" s="83">
        <f t="shared" si="4"/>
        <v>510.9</v>
      </c>
    </row>
    <row r="230" spans="1:7" ht="25.5">
      <c r="A230" s="182">
        <v>22002000</v>
      </c>
      <c r="B230" s="87" t="s">
        <v>787</v>
      </c>
      <c r="C230" s="87" t="s">
        <v>788</v>
      </c>
      <c r="D230" s="88" t="s">
        <v>532</v>
      </c>
      <c r="E230" s="83">
        <v>1</v>
      </c>
      <c r="F230" s="83">
        <v>30</v>
      </c>
      <c r="G230" s="83">
        <f t="shared" si="4"/>
        <v>30</v>
      </c>
    </row>
    <row r="231" spans="1:7" ht="25.5">
      <c r="A231" s="182">
        <v>22003000</v>
      </c>
      <c r="B231" s="87" t="s">
        <v>789</v>
      </c>
      <c r="C231" s="87" t="s">
        <v>790</v>
      </c>
      <c r="D231" s="88" t="s">
        <v>532</v>
      </c>
      <c r="E231" s="83">
        <v>7</v>
      </c>
      <c r="F231" s="83">
        <v>30</v>
      </c>
      <c r="G231" s="83">
        <f t="shared" si="4"/>
        <v>210</v>
      </c>
    </row>
    <row r="232" spans="1:7" ht="25.5">
      <c r="A232" s="182">
        <v>22004000</v>
      </c>
      <c r="B232" s="87" t="s">
        <v>791</v>
      </c>
      <c r="C232" s="87" t="s">
        <v>792</v>
      </c>
      <c r="D232" s="88" t="s">
        <v>532</v>
      </c>
      <c r="E232" s="83">
        <v>7</v>
      </c>
      <c r="F232" s="83">
        <v>88.35</v>
      </c>
      <c r="G232" s="83">
        <f t="shared" si="4"/>
        <v>618.4499999999999</v>
      </c>
    </row>
    <row r="233" spans="1:7" ht="14.25" customHeight="1">
      <c r="A233" s="181">
        <v>23000000</v>
      </c>
      <c r="B233" s="160"/>
      <c r="C233" s="256" t="s">
        <v>793</v>
      </c>
      <c r="D233" s="256"/>
      <c r="E233" s="256"/>
      <c r="F233" s="256"/>
      <c r="G233" s="161">
        <f>SUM(G234:G249)</f>
        <v>8598.122</v>
      </c>
    </row>
    <row r="234" spans="1:7" ht="25.5">
      <c r="A234" s="182">
        <v>23001000</v>
      </c>
      <c r="B234" s="87">
        <v>40729</v>
      </c>
      <c r="C234" s="87" t="s">
        <v>0</v>
      </c>
      <c r="D234" s="88" t="s">
        <v>532</v>
      </c>
      <c r="E234" s="83">
        <v>6</v>
      </c>
      <c r="F234" s="83">
        <v>158.59</v>
      </c>
      <c r="G234" s="83">
        <f t="shared" si="4"/>
        <v>951.54</v>
      </c>
    </row>
    <row r="235" spans="1:7" ht="25.5">
      <c r="A235" s="182">
        <v>23002000</v>
      </c>
      <c r="B235" s="87" t="s">
        <v>1</v>
      </c>
      <c r="C235" s="87" t="s">
        <v>2</v>
      </c>
      <c r="D235" s="88" t="s">
        <v>532</v>
      </c>
      <c r="E235" s="83">
        <v>5</v>
      </c>
      <c r="F235" s="83">
        <v>18.54</v>
      </c>
      <c r="G235" s="83">
        <f t="shared" si="4"/>
        <v>92.69999999999999</v>
      </c>
    </row>
    <row r="236" spans="1:7" ht="15">
      <c r="A236" s="182">
        <v>23003000</v>
      </c>
      <c r="B236" s="87" t="s">
        <v>3</v>
      </c>
      <c r="C236" s="87" t="s">
        <v>4</v>
      </c>
      <c r="D236" s="88" t="s">
        <v>532</v>
      </c>
      <c r="E236" s="83">
        <v>5</v>
      </c>
      <c r="F236" s="83">
        <v>16.94</v>
      </c>
      <c r="G236" s="83">
        <f t="shared" si="4"/>
        <v>84.7</v>
      </c>
    </row>
    <row r="237" spans="1:7" ht="38.25">
      <c r="A237" s="182">
        <v>23004000</v>
      </c>
      <c r="B237" s="87" t="s">
        <v>5</v>
      </c>
      <c r="C237" s="87" t="s">
        <v>6</v>
      </c>
      <c r="D237" s="88" t="s">
        <v>532</v>
      </c>
      <c r="E237" s="83">
        <v>1</v>
      </c>
      <c r="F237" s="83">
        <v>145.56</v>
      </c>
      <c r="G237" s="83">
        <f t="shared" si="4"/>
        <v>145.56</v>
      </c>
    </row>
    <row r="238" spans="1:7" ht="25.5">
      <c r="A238" s="182">
        <v>23005000</v>
      </c>
      <c r="B238" s="87" t="s">
        <v>7</v>
      </c>
      <c r="C238" s="87" t="s">
        <v>8</v>
      </c>
      <c r="D238" s="88" t="s">
        <v>532</v>
      </c>
      <c r="E238" s="83">
        <v>3</v>
      </c>
      <c r="F238" s="83">
        <v>19.36</v>
      </c>
      <c r="G238" s="83">
        <f t="shared" si="4"/>
        <v>58.08</v>
      </c>
    </row>
    <row r="239" spans="1:7" ht="63.75">
      <c r="A239" s="182">
        <v>23006000</v>
      </c>
      <c r="B239" s="87" t="s">
        <v>9</v>
      </c>
      <c r="C239" s="87" t="s">
        <v>10</v>
      </c>
      <c r="D239" s="88" t="s">
        <v>532</v>
      </c>
      <c r="E239" s="83">
        <v>2</v>
      </c>
      <c r="F239" s="83">
        <v>81.58</v>
      </c>
      <c r="G239" s="83">
        <f t="shared" si="4"/>
        <v>163.16</v>
      </c>
    </row>
    <row r="240" spans="1:7" ht="25.5">
      <c r="A240" s="182">
        <v>23007000</v>
      </c>
      <c r="B240" s="87" t="s">
        <v>11</v>
      </c>
      <c r="C240" s="87" t="s">
        <v>12</v>
      </c>
      <c r="D240" s="88" t="s">
        <v>535</v>
      </c>
      <c r="E240" s="83">
        <f>4.86+3</f>
        <v>7.86</v>
      </c>
      <c r="F240" s="83">
        <v>211.7</v>
      </c>
      <c r="G240" s="83">
        <f t="shared" si="4"/>
        <v>1663.962</v>
      </c>
    </row>
    <row r="241" spans="1:7" ht="38.25">
      <c r="A241" s="182">
        <v>23009000</v>
      </c>
      <c r="B241" s="87" t="s">
        <v>13</v>
      </c>
      <c r="C241" s="87" t="s">
        <v>14</v>
      </c>
      <c r="D241" s="88" t="s">
        <v>532</v>
      </c>
      <c r="E241" s="83">
        <v>6</v>
      </c>
      <c r="F241" s="83">
        <v>245.44</v>
      </c>
      <c r="G241" s="83">
        <f t="shared" si="4"/>
        <v>1472.6399999999999</v>
      </c>
    </row>
    <row r="242" spans="1:7" ht="38.25">
      <c r="A242" s="182">
        <v>23010000</v>
      </c>
      <c r="B242" s="87" t="s">
        <v>15</v>
      </c>
      <c r="C242" s="87" t="s">
        <v>16</v>
      </c>
      <c r="D242" s="88" t="s">
        <v>532</v>
      </c>
      <c r="E242" s="83">
        <v>2</v>
      </c>
      <c r="F242" s="83">
        <v>253.37</v>
      </c>
      <c r="G242" s="83">
        <f t="shared" si="4"/>
        <v>506.74</v>
      </c>
    </row>
    <row r="243" spans="1:7" ht="15">
      <c r="A243" s="182">
        <v>23011000</v>
      </c>
      <c r="B243" s="87">
        <v>76015</v>
      </c>
      <c r="C243" s="87" t="s">
        <v>17</v>
      </c>
      <c r="D243" s="88" t="s">
        <v>532</v>
      </c>
      <c r="E243" s="83">
        <v>2</v>
      </c>
      <c r="F243" s="83">
        <v>98.27</v>
      </c>
      <c r="G243" s="83">
        <f t="shared" si="4"/>
        <v>196.54</v>
      </c>
    </row>
    <row r="244" spans="1:7" ht="15">
      <c r="A244" s="182">
        <v>23012000</v>
      </c>
      <c r="B244" s="87">
        <v>76014</v>
      </c>
      <c r="C244" s="87" t="s">
        <v>18</v>
      </c>
      <c r="D244" s="88" t="s">
        <v>532</v>
      </c>
      <c r="E244" s="83">
        <v>4</v>
      </c>
      <c r="F244" s="83">
        <v>77.02</v>
      </c>
      <c r="G244" s="83">
        <f t="shared" si="4"/>
        <v>308.08</v>
      </c>
    </row>
    <row r="245" spans="1:7" ht="51">
      <c r="A245" s="182">
        <v>23013000</v>
      </c>
      <c r="B245" s="87" t="s">
        <v>19</v>
      </c>
      <c r="C245" s="87" t="s">
        <v>20</v>
      </c>
      <c r="D245" s="88" t="s">
        <v>532</v>
      </c>
      <c r="E245" s="83">
        <v>5</v>
      </c>
      <c r="F245" s="83">
        <v>118.23</v>
      </c>
      <c r="G245" s="83">
        <f t="shared" si="4"/>
        <v>591.15</v>
      </c>
    </row>
    <row r="246" spans="1:7" ht="25.5">
      <c r="A246" s="182">
        <v>23014000</v>
      </c>
      <c r="B246" s="87" t="s">
        <v>21</v>
      </c>
      <c r="C246" s="87" t="s">
        <v>27</v>
      </c>
      <c r="D246" s="88" t="s">
        <v>532</v>
      </c>
      <c r="E246" s="83">
        <v>2</v>
      </c>
      <c r="F246" s="83">
        <v>623.83</v>
      </c>
      <c r="G246" s="83">
        <f t="shared" si="4"/>
        <v>1247.66</v>
      </c>
    </row>
    <row r="247" spans="1:7" ht="38.25">
      <c r="A247" s="182">
        <v>23015000</v>
      </c>
      <c r="B247" s="87" t="s">
        <v>28</v>
      </c>
      <c r="C247" s="87" t="s">
        <v>29</v>
      </c>
      <c r="D247" s="88" t="s">
        <v>532</v>
      </c>
      <c r="E247" s="83">
        <v>5</v>
      </c>
      <c r="F247" s="83">
        <v>203.29</v>
      </c>
      <c r="G247" s="83">
        <f t="shared" si="4"/>
        <v>1016.4499999999999</v>
      </c>
    </row>
    <row r="248" spans="1:7" ht="38.25">
      <c r="A248" s="182">
        <v>23016000</v>
      </c>
      <c r="B248" s="87" t="s">
        <v>30</v>
      </c>
      <c r="C248" s="87" t="s">
        <v>272</v>
      </c>
      <c r="D248" s="88" t="s">
        <v>532</v>
      </c>
      <c r="E248" s="83">
        <v>1</v>
      </c>
      <c r="F248" s="83">
        <v>70.51</v>
      </c>
      <c r="G248" s="83">
        <f t="shared" si="4"/>
        <v>70.51</v>
      </c>
    </row>
    <row r="249" spans="1:7" ht="25.5">
      <c r="A249" s="182">
        <v>23017000</v>
      </c>
      <c r="B249" s="163">
        <v>9535</v>
      </c>
      <c r="C249" s="163" t="s">
        <v>273</v>
      </c>
      <c r="D249" s="176" t="s">
        <v>532</v>
      </c>
      <c r="E249" s="92">
        <v>1</v>
      </c>
      <c r="F249" s="92">
        <v>28.65</v>
      </c>
      <c r="G249" s="83">
        <f t="shared" si="4"/>
        <v>28.65</v>
      </c>
    </row>
    <row r="250" spans="1:7" ht="14.25" customHeight="1">
      <c r="A250" s="181">
        <v>24000000</v>
      </c>
      <c r="B250" s="160"/>
      <c r="C250" s="256" t="s">
        <v>274</v>
      </c>
      <c r="D250" s="256"/>
      <c r="E250" s="256"/>
      <c r="F250" s="256"/>
      <c r="G250" s="161">
        <f>SUM(G251:G254)</f>
        <v>41670.95</v>
      </c>
    </row>
    <row r="251" spans="1:7" ht="63.75">
      <c r="A251" s="182">
        <v>24001000</v>
      </c>
      <c r="B251" s="87" t="s">
        <v>275</v>
      </c>
      <c r="C251" s="87" t="s">
        <v>277</v>
      </c>
      <c r="D251" s="88" t="s">
        <v>532</v>
      </c>
      <c r="E251" s="191">
        <v>23</v>
      </c>
      <c r="F251" s="96">
        <v>1062.76</v>
      </c>
      <c r="G251" s="83">
        <f t="shared" si="4"/>
        <v>24443.48</v>
      </c>
    </row>
    <row r="252" spans="1:7" ht="89.25">
      <c r="A252" s="182">
        <v>24002000</v>
      </c>
      <c r="B252" s="87">
        <v>75964</v>
      </c>
      <c r="C252" s="87" t="s">
        <v>278</v>
      </c>
      <c r="D252" s="88" t="s">
        <v>532</v>
      </c>
      <c r="E252" s="191">
        <v>8</v>
      </c>
      <c r="F252" s="96">
        <v>133.41</v>
      </c>
      <c r="G252" s="83">
        <f t="shared" si="4"/>
        <v>1067.28</v>
      </c>
    </row>
    <row r="253" spans="1:7" ht="127.5">
      <c r="A253" s="182">
        <v>24003000</v>
      </c>
      <c r="B253" s="87" t="s">
        <v>279</v>
      </c>
      <c r="C253" s="87" t="s">
        <v>280</v>
      </c>
      <c r="D253" s="88" t="s">
        <v>532</v>
      </c>
      <c r="E253" s="191">
        <v>129</v>
      </c>
      <c r="F253" s="96">
        <v>121.57</v>
      </c>
      <c r="G253" s="83">
        <f t="shared" si="4"/>
        <v>15682.529999999999</v>
      </c>
    </row>
    <row r="254" spans="1:7" ht="25.5">
      <c r="A254" s="182">
        <v>24004000</v>
      </c>
      <c r="B254" s="87" t="s">
        <v>281</v>
      </c>
      <c r="C254" s="192" t="s">
        <v>282</v>
      </c>
      <c r="D254" s="88" t="s">
        <v>532</v>
      </c>
      <c r="E254" s="191">
        <v>3</v>
      </c>
      <c r="F254" s="97">
        <v>159.22</v>
      </c>
      <c r="G254" s="83">
        <f t="shared" si="4"/>
        <v>477.65999999999997</v>
      </c>
    </row>
    <row r="255" spans="1:7" ht="14.25" customHeight="1">
      <c r="A255" s="181">
        <v>25000000</v>
      </c>
      <c r="B255" s="160"/>
      <c r="C255" s="256" t="s">
        <v>283</v>
      </c>
      <c r="D255" s="256"/>
      <c r="E255" s="256"/>
      <c r="F255" s="256"/>
      <c r="G255" s="161">
        <f>SUM(G256:G317)</f>
        <v>48041.5293</v>
      </c>
    </row>
    <row r="256" spans="1:7" ht="25.5">
      <c r="A256" s="182">
        <v>25001000</v>
      </c>
      <c r="B256" s="87">
        <v>55866</v>
      </c>
      <c r="C256" s="87" t="s">
        <v>284</v>
      </c>
      <c r="D256" s="88" t="s">
        <v>574</v>
      </c>
      <c r="E256" s="83">
        <v>2.53</v>
      </c>
      <c r="F256" s="83">
        <v>17.7</v>
      </c>
      <c r="G256" s="83">
        <f t="shared" si="4"/>
        <v>44.78099999999999</v>
      </c>
    </row>
    <row r="257" spans="1:7" ht="25.5">
      <c r="A257" s="182">
        <v>25002000</v>
      </c>
      <c r="B257" s="87">
        <v>72334</v>
      </c>
      <c r="C257" s="87" t="s">
        <v>285</v>
      </c>
      <c r="D257" s="88" t="s">
        <v>532</v>
      </c>
      <c r="E257" s="83">
        <v>2</v>
      </c>
      <c r="F257" s="83">
        <v>7.87</v>
      </c>
      <c r="G257" s="83">
        <f t="shared" si="4"/>
        <v>15.74</v>
      </c>
    </row>
    <row r="258" spans="1:7" ht="25.5">
      <c r="A258" s="182">
        <v>25003000</v>
      </c>
      <c r="B258" s="87">
        <v>73613</v>
      </c>
      <c r="C258" s="87" t="s">
        <v>286</v>
      </c>
      <c r="D258" s="88" t="s">
        <v>574</v>
      </c>
      <c r="E258" s="83">
        <v>1429.1</v>
      </c>
      <c r="F258" s="83">
        <v>4.46</v>
      </c>
      <c r="G258" s="83">
        <f t="shared" si="4"/>
        <v>6373.785999999999</v>
      </c>
    </row>
    <row r="259" spans="1:7" ht="25.5">
      <c r="A259" s="182">
        <v>25004000</v>
      </c>
      <c r="B259" s="87">
        <v>73614</v>
      </c>
      <c r="C259" s="87" t="s">
        <v>287</v>
      </c>
      <c r="D259" s="88" t="s">
        <v>574</v>
      </c>
      <c r="E259" s="83">
        <v>20.26</v>
      </c>
      <c r="F259" s="83">
        <v>4</v>
      </c>
      <c r="G259" s="83">
        <f aca="true" t="shared" si="5" ref="G259:G322">F259*E259</f>
        <v>81.04</v>
      </c>
    </row>
    <row r="260" spans="1:7" ht="63.75">
      <c r="A260" s="182">
        <v>25005000</v>
      </c>
      <c r="B260" s="87" t="s">
        <v>668</v>
      </c>
      <c r="C260" s="87" t="s">
        <v>288</v>
      </c>
      <c r="D260" s="88" t="s">
        <v>532</v>
      </c>
      <c r="E260" s="83">
        <v>12</v>
      </c>
      <c r="F260" s="83">
        <v>157.77</v>
      </c>
      <c r="G260" s="83">
        <f t="shared" si="5"/>
        <v>1893.2400000000002</v>
      </c>
    </row>
    <row r="261" spans="1:7" ht="25.5">
      <c r="A261" s="182">
        <v>25006000</v>
      </c>
      <c r="B261" s="87" t="s">
        <v>289</v>
      </c>
      <c r="C261" s="87" t="s">
        <v>290</v>
      </c>
      <c r="D261" s="88" t="s">
        <v>574</v>
      </c>
      <c r="E261" s="83">
        <v>43.31</v>
      </c>
      <c r="F261" s="83">
        <v>7.7</v>
      </c>
      <c r="G261" s="83">
        <f t="shared" si="5"/>
        <v>333.487</v>
      </c>
    </row>
    <row r="262" spans="1:7" ht="25.5">
      <c r="A262" s="182">
        <v>25007000</v>
      </c>
      <c r="B262" s="87">
        <v>75811</v>
      </c>
      <c r="C262" s="87" t="s">
        <v>291</v>
      </c>
      <c r="D262" s="88" t="s">
        <v>574</v>
      </c>
      <c r="E262" s="83">
        <v>10.67</v>
      </c>
      <c r="F262" s="83">
        <v>10.65</v>
      </c>
      <c r="G262" s="83">
        <f t="shared" si="5"/>
        <v>113.63550000000001</v>
      </c>
    </row>
    <row r="263" spans="1:7" ht="15">
      <c r="A263" s="182">
        <v>25008000</v>
      </c>
      <c r="B263" s="87">
        <v>75814</v>
      </c>
      <c r="C263" s="87" t="s">
        <v>293</v>
      </c>
      <c r="D263" s="88" t="s">
        <v>532</v>
      </c>
      <c r="E263" s="83">
        <v>14</v>
      </c>
      <c r="F263" s="83">
        <v>58.56</v>
      </c>
      <c r="G263" s="83">
        <f t="shared" si="5"/>
        <v>819.84</v>
      </c>
    </row>
    <row r="264" spans="1:7" ht="25.5">
      <c r="A264" s="182">
        <v>25009000</v>
      </c>
      <c r="B264" s="87">
        <v>75819</v>
      </c>
      <c r="C264" s="87" t="s">
        <v>294</v>
      </c>
      <c r="D264" s="88" t="s">
        <v>532</v>
      </c>
      <c r="E264" s="83">
        <v>1</v>
      </c>
      <c r="F264" s="83">
        <v>10.82</v>
      </c>
      <c r="G264" s="83">
        <f t="shared" si="5"/>
        <v>10.82</v>
      </c>
    </row>
    <row r="265" spans="1:7" ht="25.5">
      <c r="A265" s="182">
        <v>25010000</v>
      </c>
      <c r="B265" s="87">
        <v>75822</v>
      </c>
      <c r="C265" s="87" t="s">
        <v>295</v>
      </c>
      <c r="D265" s="88" t="s">
        <v>532</v>
      </c>
      <c r="E265" s="83">
        <v>1</v>
      </c>
      <c r="F265" s="83">
        <v>10.8</v>
      </c>
      <c r="G265" s="83">
        <f t="shared" si="5"/>
        <v>10.8</v>
      </c>
    </row>
    <row r="266" spans="1:7" ht="25.5">
      <c r="A266" s="182">
        <v>25011000</v>
      </c>
      <c r="B266" s="87">
        <v>75824</v>
      </c>
      <c r="C266" s="87" t="s">
        <v>296</v>
      </c>
      <c r="D266" s="88" t="s">
        <v>532</v>
      </c>
      <c r="E266" s="83">
        <v>4</v>
      </c>
      <c r="F266" s="83">
        <v>17.08</v>
      </c>
      <c r="G266" s="83">
        <f t="shared" si="5"/>
        <v>68.32</v>
      </c>
    </row>
    <row r="267" spans="1:7" ht="25.5">
      <c r="A267" s="182">
        <v>25012000</v>
      </c>
      <c r="B267" s="87">
        <v>55865</v>
      </c>
      <c r="C267" s="87" t="s">
        <v>297</v>
      </c>
      <c r="D267" s="88" t="s">
        <v>574</v>
      </c>
      <c r="E267" s="83">
        <v>14.98</v>
      </c>
      <c r="F267" s="83">
        <v>14.63</v>
      </c>
      <c r="G267" s="83">
        <f t="shared" si="5"/>
        <v>219.15740000000002</v>
      </c>
    </row>
    <row r="268" spans="1:7" ht="15">
      <c r="A268" s="182">
        <v>25013000</v>
      </c>
      <c r="B268" s="87" t="s">
        <v>298</v>
      </c>
      <c r="C268" s="87" t="s">
        <v>299</v>
      </c>
      <c r="D268" s="88" t="s">
        <v>532</v>
      </c>
      <c r="E268" s="83">
        <v>457</v>
      </c>
      <c r="F268" s="83">
        <v>3.19</v>
      </c>
      <c r="G268" s="83">
        <f t="shared" si="5"/>
        <v>1457.83</v>
      </c>
    </row>
    <row r="269" spans="1:7" ht="15">
      <c r="A269" s="182">
        <v>25014000</v>
      </c>
      <c r="B269" s="87" t="s">
        <v>300</v>
      </c>
      <c r="C269" s="87" t="s">
        <v>301</v>
      </c>
      <c r="D269" s="88" t="s">
        <v>532</v>
      </c>
      <c r="E269" s="83">
        <v>6</v>
      </c>
      <c r="F269" s="83">
        <v>4.57</v>
      </c>
      <c r="G269" s="83">
        <f t="shared" si="5"/>
        <v>27.42</v>
      </c>
    </row>
    <row r="270" spans="1:7" ht="15">
      <c r="A270" s="182">
        <v>25015000</v>
      </c>
      <c r="B270" s="87" t="s">
        <v>302</v>
      </c>
      <c r="C270" s="87" t="s">
        <v>303</v>
      </c>
      <c r="D270" s="88" t="s">
        <v>532</v>
      </c>
      <c r="E270" s="83">
        <v>2</v>
      </c>
      <c r="F270" s="83">
        <v>9.78</v>
      </c>
      <c r="G270" s="83">
        <f t="shared" si="5"/>
        <v>19.56</v>
      </c>
    </row>
    <row r="271" spans="1:7" ht="15">
      <c r="A271" s="182">
        <v>25016000</v>
      </c>
      <c r="B271" s="87">
        <v>75827</v>
      </c>
      <c r="C271" s="87" t="s">
        <v>304</v>
      </c>
      <c r="D271" s="88" t="s">
        <v>532</v>
      </c>
      <c r="E271" s="83">
        <v>6</v>
      </c>
      <c r="F271" s="83">
        <v>3.48</v>
      </c>
      <c r="G271" s="83">
        <f t="shared" si="5"/>
        <v>20.88</v>
      </c>
    </row>
    <row r="272" spans="1:7" ht="25.5">
      <c r="A272" s="182">
        <v>25017000</v>
      </c>
      <c r="B272" s="87">
        <v>72331</v>
      </c>
      <c r="C272" s="87" t="s">
        <v>305</v>
      </c>
      <c r="D272" s="88" t="s">
        <v>532</v>
      </c>
      <c r="E272" s="83">
        <v>10</v>
      </c>
      <c r="F272" s="83">
        <v>6.88</v>
      </c>
      <c r="G272" s="83">
        <f t="shared" si="5"/>
        <v>68.8</v>
      </c>
    </row>
    <row r="273" spans="1:7" ht="25.5">
      <c r="A273" s="182">
        <v>25018000</v>
      </c>
      <c r="B273" s="87">
        <v>72332</v>
      </c>
      <c r="C273" s="87" t="s">
        <v>306</v>
      </c>
      <c r="D273" s="88" t="s">
        <v>532</v>
      </c>
      <c r="E273" s="83">
        <v>3</v>
      </c>
      <c r="F273" s="83">
        <v>9.34</v>
      </c>
      <c r="G273" s="83">
        <f t="shared" si="5"/>
        <v>28.02</v>
      </c>
    </row>
    <row r="274" spans="1:7" ht="25.5">
      <c r="A274" s="182">
        <v>25019000</v>
      </c>
      <c r="B274" s="87">
        <v>75828</v>
      </c>
      <c r="C274" s="87" t="s">
        <v>307</v>
      </c>
      <c r="D274" s="88" t="s">
        <v>532</v>
      </c>
      <c r="E274" s="83">
        <v>4</v>
      </c>
      <c r="F274" s="83">
        <v>18</v>
      </c>
      <c r="G274" s="83">
        <f t="shared" si="5"/>
        <v>72</v>
      </c>
    </row>
    <row r="275" spans="1:7" ht="15">
      <c r="A275" s="182">
        <v>25020000</v>
      </c>
      <c r="B275" s="87" t="s">
        <v>308</v>
      </c>
      <c r="C275" s="87" t="s">
        <v>309</v>
      </c>
      <c r="D275" s="88" t="s">
        <v>532</v>
      </c>
      <c r="E275" s="83">
        <v>914</v>
      </c>
      <c r="F275" s="83">
        <v>1.44</v>
      </c>
      <c r="G275" s="83">
        <f t="shared" si="5"/>
        <v>1316.1599999999999</v>
      </c>
    </row>
    <row r="276" spans="1:7" ht="15">
      <c r="A276" s="182">
        <v>25021000</v>
      </c>
      <c r="B276" s="87" t="s">
        <v>310</v>
      </c>
      <c r="C276" s="87" t="s">
        <v>311</v>
      </c>
      <c r="D276" s="88" t="s">
        <v>532</v>
      </c>
      <c r="E276" s="83">
        <v>12</v>
      </c>
      <c r="F276" s="83">
        <v>1.86</v>
      </c>
      <c r="G276" s="83">
        <f t="shared" si="5"/>
        <v>22.32</v>
      </c>
    </row>
    <row r="277" spans="1:7" ht="15">
      <c r="A277" s="182">
        <v>25022000</v>
      </c>
      <c r="B277" s="87" t="s">
        <v>312</v>
      </c>
      <c r="C277" s="87" t="s">
        <v>313</v>
      </c>
      <c r="D277" s="88" t="s">
        <v>532</v>
      </c>
      <c r="E277" s="83">
        <v>4</v>
      </c>
      <c r="F277" s="83">
        <v>3.98</v>
      </c>
      <c r="G277" s="83">
        <f t="shared" si="5"/>
        <v>15.92</v>
      </c>
    </row>
    <row r="278" spans="1:7" ht="15">
      <c r="A278" s="182">
        <v>25023000</v>
      </c>
      <c r="B278" s="87" t="s">
        <v>314</v>
      </c>
      <c r="C278" s="87" t="s">
        <v>315</v>
      </c>
      <c r="D278" s="88" t="s">
        <v>532</v>
      </c>
      <c r="E278" s="83">
        <v>12</v>
      </c>
      <c r="F278" s="83">
        <v>1.03</v>
      </c>
      <c r="G278" s="83">
        <f t="shared" si="5"/>
        <v>12.36</v>
      </c>
    </row>
    <row r="279" spans="1:7" ht="15">
      <c r="A279" s="182">
        <v>25024000</v>
      </c>
      <c r="B279" s="87">
        <v>75833</v>
      </c>
      <c r="C279" s="87" t="s">
        <v>316</v>
      </c>
      <c r="D279" s="88" t="s">
        <v>532</v>
      </c>
      <c r="E279" s="83">
        <v>1</v>
      </c>
      <c r="F279" s="83">
        <v>6.89</v>
      </c>
      <c r="G279" s="83">
        <f t="shared" si="5"/>
        <v>6.89</v>
      </c>
    </row>
    <row r="280" spans="1:7" ht="15">
      <c r="A280" s="182">
        <v>25025000</v>
      </c>
      <c r="B280" s="87">
        <v>75834</v>
      </c>
      <c r="C280" s="87" t="s">
        <v>317</v>
      </c>
      <c r="D280" s="88" t="s">
        <v>532</v>
      </c>
      <c r="E280" s="83">
        <v>125</v>
      </c>
      <c r="F280" s="83">
        <v>6.25</v>
      </c>
      <c r="G280" s="83">
        <f t="shared" si="5"/>
        <v>781.25</v>
      </c>
    </row>
    <row r="281" spans="1:7" ht="15">
      <c r="A281" s="182">
        <v>25026000</v>
      </c>
      <c r="B281" s="87" t="s">
        <v>318</v>
      </c>
      <c r="C281" s="87" t="s">
        <v>331</v>
      </c>
      <c r="D281" s="88" t="s">
        <v>574</v>
      </c>
      <c r="E281" s="83">
        <v>91.45</v>
      </c>
      <c r="F281" s="83">
        <v>9.12</v>
      </c>
      <c r="G281" s="83">
        <f t="shared" si="5"/>
        <v>834.024</v>
      </c>
    </row>
    <row r="282" spans="1:7" ht="15">
      <c r="A282" s="182">
        <v>25027000</v>
      </c>
      <c r="B282" s="87" t="s">
        <v>332</v>
      </c>
      <c r="C282" s="87" t="s">
        <v>333</v>
      </c>
      <c r="D282" s="88" t="s">
        <v>574</v>
      </c>
      <c r="E282" s="83">
        <v>30.48</v>
      </c>
      <c r="F282" s="83">
        <v>9.12</v>
      </c>
      <c r="G282" s="83">
        <f t="shared" si="5"/>
        <v>277.9776</v>
      </c>
    </row>
    <row r="283" spans="1:7" ht="15">
      <c r="A283" s="182">
        <v>25028000</v>
      </c>
      <c r="B283" s="87">
        <v>72251</v>
      </c>
      <c r="C283" s="87" t="s">
        <v>334</v>
      </c>
      <c r="D283" s="88" t="s">
        <v>574</v>
      </c>
      <c r="E283" s="83">
        <v>30.48</v>
      </c>
      <c r="F283" s="83">
        <v>6.05</v>
      </c>
      <c r="G283" s="83">
        <f t="shared" si="5"/>
        <v>184.404</v>
      </c>
    </row>
    <row r="284" spans="1:7" ht="15">
      <c r="A284" s="182">
        <v>25029000</v>
      </c>
      <c r="B284" s="87">
        <v>72934</v>
      </c>
      <c r="C284" s="87" t="s">
        <v>335</v>
      </c>
      <c r="D284" s="88" t="s">
        <v>574</v>
      </c>
      <c r="E284" s="83">
        <v>102.35</v>
      </c>
      <c r="F284" s="83">
        <v>2.98</v>
      </c>
      <c r="G284" s="83">
        <f t="shared" si="5"/>
        <v>305.003</v>
      </c>
    </row>
    <row r="285" spans="1:7" ht="15">
      <c r="A285" s="182">
        <v>25030000</v>
      </c>
      <c r="B285" s="87" t="s">
        <v>326</v>
      </c>
      <c r="C285" s="87" t="s">
        <v>336</v>
      </c>
      <c r="D285" s="88" t="s">
        <v>532</v>
      </c>
      <c r="E285" s="83">
        <v>2</v>
      </c>
      <c r="F285" s="83">
        <v>46</v>
      </c>
      <c r="G285" s="83">
        <f t="shared" si="5"/>
        <v>92</v>
      </c>
    </row>
    <row r="286" spans="1:7" ht="15">
      <c r="A286" s="182">
        <v>25031000</v>
      </c>
      <c r="B286" s="87" t="s">
        <v>337</v>
      </c>
      <c r="C286" s="87" t="s">
        <v>338</v>
      </c>
      <c r="D286" s="88" t="s">
        <v>574</v>
      </c>
      <c r="E286" s="83">
        <v>82</v>
      </c>
      <c r="F286" s="83">
        <v>37.43</v>
      </c>
      <c r="G286" s="83">
        <f t="shared" si="5"/>
        <v>3069.2599999999998</v>
      </c>
    </row>
    <row r="287" spans="1:7" ht="38.25">
      <c r="A287" s="182">
        <v>25032000</v>
      </c>
      <c r="B287" s="87" t="s">
        <v>339</v>
      </c>
      <c r="C287" s="87" t="s">
        <v>340</v>
      </c>
      <c r="D287" s="88" t="s">
        <v>574</v>
      </c>
      <c r="E287" s="49">
        <v>12</v>
      </c>
      <c r="F287" s="83">
        <v>37.43</v>
      </c>
      <c r="G287" s="83">
        <f t="shared" si="5"/>
        <v>449.15999999999997</v>
      </c>
    </row>
    <row r="288" spans="1:7" ht="25.5">
      <c r="A288" s="182">
        <v>25033000</v>
      </c>
      <c r="B288" s="87" t="s">
        <v>39</v>
      </c>
      <c r="C288" s="87" t="s">
        <v>40</v>
      </c>
      <c r="D288" s="88" t="s">
        <v>574</v>
      </c>
      <c r="E288" s="49">
        <v>20</v>
      </c>
      <c r="F288" s="83">
        <v>37.43</v>
      </c>
      <c r="G288" s="83">
        <f t="shared" si="5"/>
        <v>748.6</v>
      </c>
    </row>
    <row r="289" spans="1:7" ht="15">
      <c r="A289" s="182">
        <v>25034000</v>
      </c>
      <c r="B289" s="87" t="s">
        <v>41</v>
      </c>
      <c r="C289" s="87" t="s">
        <v>42</v>
      </c>
      <c r="D289" s="88" t="s">
        <v>532</v>
      </c>
      <c r="E289" s="83">
        <v>35</v>
      </c>
      <c r="F289" s="83">
        <v>2.19</v>
      </c>
      <c r="G289" s="83">
        <f t="shared" si="5"/>
        <v>76.64999999999999</v>
      </c>
    </row>
    <row r="290" spans="1:7" ht="15">
      <c r="A290" s="182">
        <v>25035000</v>
      </c>
      <c r="B290" s="87" t="s">
        <v>327</v>
      </c>
      <c r="C290" s="87" t="s">
        <v>43</v>
      </c>
      <c r="D290" s="88" t="s">
        <v>532</v>
      </c>
      <c r="E290" s="83">
        <v>2</v>
      </c>
      <c r="F290" s="83">
        <v>64.31</v>
      </c>
      <c r="G290" s="83">
        <f t="shared" si="5"/>
        <v>128.62</v>
      </c>
    </row>
    <row r="291" spans="1:7" ht="15">
      <c r="A291" s="182">
        <v>25036000</v>
      </c>
      <c r="B291" s="87">
        <v>75835</v>
      </c>
      <c r="C291" s="87" t="s">
        <v>44</v>
      </c>
      <c r="D291" s="88" t="s">
        <v>532</v>
      </c>
      <c r="E291" s="83">
        <v>23</v>
      </c>
      <c r="F291" s="83">
        <v>25.87</v>
      </c>
      <c r="G291" s="83">
        <f t="shared" si="5"/>
        <v>595.01</v>
      </c>
    </row>
    <row r="292" spans="1:7" ht="25.5">
      <c r="A292" s="182">
        <v>25037000</v>
      </c>
      <c r="B292" s="87" t="s">
        <v>45</v>
      </c>
      <c r="C292" s="87" t="s">
        <v>46</v>
      </c>
      <c r="D292" s="88" t="s">
        <v>532</v>
      </c>
      <c r="E292" s="83">
        <v>28</v>
      </c>
      <c r="F292" s="83">
        <v>136.38</v>
      </c>
      <c r="G292" s="83">
        <f t="shared" si="5"/>
        <v>3818.64</v>
      </c>
    </row>
    <row r="293" spans="1:7" ht="25.5">
      <c r="A293" s="182">
        <v>25038000</v>
      </c>
      <c r="B293" s="87">
        <v>75836</v>
      </c>
      <c r="C293" s="87" t="s">
        <v>47</v>
      </c>
      <c r="D293" s="88" t="s">
        <v>532</v>
      </c>
      <c r="E293" s="83">
        <f>22+48</f>
        <v>70</v>
      </c>
      <c r="F293" s="83">
        <v>17.52</v>
      </c>
      <c r="G293" s="83">
        <f t="shared" si="5"/>
        <v>1226.3999999999999</v>
      </c>
    </row>
    <row r="294" spans="1:7" ht="15">
      <c r="A294" s="182">
        <v>25039000</v>
      </c>
      <c r="B294" s="87">
        <v>75836</v>
      </c>
      <c r="C294" s="87" t="s">
        <v>48</v>
      </c>
      <c r="D294" s="88" t="s">
        <v>532</v>
      </c>
      <c r="E294" s="83">
        <v>16</v>
      </c>
      <c r="F294" s="83">
        <v>17.52</v>
      </c>
      <c r="G294" s="83">
        <f t="shared" si="5"/>
        <v>280.32</v>
      </c>
    </row>
    <row r="295" spans="1:7" ht="25.5">
      <c r="A295" s="182">
        <v>25040000</v>
      </c>
      <c r="B295" s="87">
        <v>75836</v>
      </c>
      <c r="C295" s="87" t="s">
        <v>49</v>
      </c>
      <c r="D295" s="88" t="s">
        <v>532</v>
      </c>
      <c r="E295" s="83">
        <v>3</v>
      </c>
      <c r="F295" s="83">
        <v>17.52</v>
      </c>
      <c r="G295" s="83">
        <f t="shared" si="5"/>
        <v>52.56</v>
      </c>
    </row>
    <row r="296" spans="1:7" ht="15">
      <c r="A296" s="182">
        <v>25041000</v>
      </c>
      <c r="B296" s="87">
        <v>75836</v>
      </c>
      <c r="C296" s="87" t="s">
        <v>50</v>
      </c>
      <c r="D296" s="88" t="s">
        <v>532</v>
      </c>
      <c r="E296" s="83">
        <v>74</v>
      </c>
      <c r="F296" s="83">
        <v>17.52</v>
      </c>
      <c r="G296" s="83">
        <f t="shared" si="5"/>
        <v>1296.48</v>
      </c>
    </row>
    <row r="297" spans="1:7" ht="25.5">
      <c r="A297" s="182">
        <v>25042000</v>
      </c>
      <c r="B297" s="87" t="s">
        <v>669</v>
      </c>
      <c r="C297" s="87" t="s">
        <v>51</v>
      </c>
      <c r="D297" s="88" t="s">
        <v>574</v>
      </c>
      <c r="E297" s="83">
        <v>2164.86</v>
      </c>
      <c r="F297" s="83">
        <v>1.6</v>
      </c>
      <c r="G297" s="83">
        <f t="shared" si="5"/>
        <v>3463.7760000000003</v>
      </c>
    </row>
    <row r="298" spans="1:7" ht="25.5">
      <c r="A298" s="182">
        <v>25043000</v>
      </c>
      <c r="B298" s="87" t="s">
        <v>669</v>
      </c>
      <c r="C298" s="87" t="s">
        <v>52</v>
      </c>
      <c r="D298" s="88" t="s">
        <v>574</v>
      </c>
      <c r="E298" s="83">
        <v>2264.57</v>
      </c>
      <c r="F298" s="83">
        <v>1.6</v>
      </c>
      <c r="G298" s="83">
        <f t="shared" si="5"/>
        <v>3623.3120000000004</v>
      </c>
    </row>
    <row r="299" spans="1:7" ht="25.5">
      <c r="A299" s="182">
        <v>25044000</v>
      </c>
      <c r="B299" s="87" t="s">
        <v>669</v>
      </c>
      <c r="C299" s="87" t="s">
        <v>53</v>
      </c>
      <c r="D299" s="88" t="s">
        <v>574</v>
      </c>
      <c r="E299" s="83">
        <v>440.77</v>
      </c>
      <c r="F299" s="83">
        <v>1.6</v>
      </c>
      <c r="G299" s="83">
        <f t="shared" si="5"/>
        <v>705.232</v>
      </c>
    </row>
    <row r="300" spans="1:7" ht="25.5">
      <c r="A300" s="182">
        <v>25045000</v>
      </c>
      <c r="B300" s="87" t="s">
        <v>669</v>
      </c>
      <c r="C300" s="87" t="s">
        <v>54</v>
      </c>
      <c r="D300" s="88" t="s">
        <v>574</v>
      </c>
      <c r="E300" s="83">
        <v>2264.57</v>
      </c>
      <c r="F300" s="83">
        <v>1.6</v>
      </c>
      <c r="G300" s="83">
        <f t="shared" si="5"/>
        <v>3623.3120000000004</v>
      </c>
    </row>
    <row r="301" spans="1:7" ht="25.5">
      <c r="A301" s="182">
        <v>25046000</v>
      </c>
      <c r="B301" s="87" t="s">
        <v>670</v>
      </c>
      <c r="C301" s="87" t="s">
        <v>55</v>
      </c>
      <c r="D301" s="88" t="s">
        <v>574</v>
      </c>
      <c r="E301" s="83">
        <v>442.73</v>
      </c>
      <c r="F301" s="83">
        <v>2.35</v>
      </c>
      <c r="G301" s="83">
        <f t="shared" si="5"/>
        <v>1040.4155</v>
      </c>
    </row>
    <row r="302" spans="1:7" ht="25.5">
      <c r="A302" s="182">
        <v>25047000</v>
      </c>
      <c r="B302" s="87" t="s">
        <v>670</v>
      </c>
      <c r="C302" s="87" t="s">
        <v>56</v>
      </c>
      <c r="D302" s="88" t="s">
        <v>574</v>
      </c>
      <c r="E302" s="83">
        <v>497.41</v>
      </c>
      <c r="F302" s="83">
        <v>2.35</v>
      </c>
      <c r="G302" s="83">
        <f t="shared" si="5"/>
        <v>1168.9135</v>
      </c>
    </row>
    <row r="303" spans="1:7" ht="25.5">
      <c r="A303" s="182">
        <v>25048000</v>
      </c>
      <c r="B303" s="87" t="s">
        <v>670</v>
      </c>
      <c r="C303" s="87" t="s">
        <v>57</v>
      </c>
      <c r="D303" s="88" t="s">
        <v>574</v>
      </c>
      <c r="E303" s="83">
        <v>169.28</v>
      </c>
      <c r="F303" s="83">
        <v>2.35</v>
      </c>
      <c r="G303" s="83">
        <f t="shared" si="5"/>
        <v>397.808</v>
      </c>
    </row>
    <row r="304" spans="1:7" ht="25.5">
      <c r="A304" s="182">
        <v>25049000</v>
      </c>
      <c r="B304" s="87" t="s">
        <v>670</v>
      </c>
      <c r="C304" s="87" t="s">
        <v>58</v>
      </c>
      <c r="D304" s="88" t="s">
        <v>574</v>
      </c>
      <c r="E304" s="83">
        <v>497.41</v>
      </c>
      <c r="F304" s="83">
        <v>2.35</v>
      </c>
      <c r="G304" s="83">
        <f t="shared" si="5"/>
        <v>1168.9135</v>
      </c>
    </row>
    <row r="305" spans="1:7" ht="25.5">
      <c r="A305" s="182">
        <v>25050000</v>
      </c>
      <c r="B305" s="87" t="s">
        <v>671</v>
      </c>
      <c r="C305" s="87" t="s">
        <v>59</v>
      </c>
      <c r="D305" s="88" t="s">
        <v>574</v>
      </c>
      <c r="E305" s="83">
        <v>348.09</v>
      </c>
      <c r="F305" s="83">
        <v>4.93</v>
      </c>
      <c r="G305" s="83">
        <f t="shared" si="5"/>
        <v>1716.0836999999997</v>
      </c>
    </row>
    <row r="306" spans="1:7" ht="25.5">
      <c r="A306" s="182">
        <v>25051000</v>
      </c>
      <c r="B306" s="87" t="s">
        <v>671</v>
      </c>
      <c r="C306" s="87" t="s">
        <v>60</v>
      </c>
      <c r="D306" s="88" t="s">
        <v>574</v>
      </c>
      <c r="E306" s="83">
        <v>116.03</v>
      </c>
      <c r="F306" s="83">
        <v>4.93</v>
      </c>
      <c r="G306" s="83">
        <f t="shared" si="5"/>
        <v>572.0278999999999</v>
      </c>
    </row>
    <row r="307" spans="1:7" ht="25.5">
      <c r="A307" s="182">
        <v>25052000</v>
      </c>
      <c r="B307" s="87" t="s">
        <v>671</v>
      </c>
      <c r="C307" s="87" t="s">
        <v>61</v>
      </c>
      <c r="D307" s="88" t="s">
        <v>574</v>
      </c>
      <c r="E307" s="83">
        <v>116.03</v>
      </c>
      <c r="F307" s="83">
        <v>4.93</v>
      </c>
      <c r="G307" s="83">
        <f t="shared" si="5"/>
        <v>572.0278999999999</v>
      </c>
    </row>
    <row r="308" spans="1:7" ht="25.5">
      <c r="A308" s="182">
        <v>25053000</v>
      </c>
      <c r="B308" s="87" t="s">
        <v>672</v>
      </c>
      <c r="C308" s="87" t="s">
        <v>62</v>
      </c>
      <c r="D308" s="88" t="s">
        <v>574</v>
      </c>
      <c r="E308" s="83">
        <v>52.52</v>
      </c>
      <c r="F308" s="83">
        <v>5.67</v>
      </c>
      <c r="G308" s="83">
        <f t="shared" si="5"/>
        <v>297.7884</v>
      </c>
    </row>
    <row r="309" spans="1:7" ht="25.5">
      <c r="A309" s="182">
        <v>25054000</v>
      </c>
      <c r="B309" s="87" t="s">
        <v>672</v>
      </c>
      <c r="C309" s="87" t="s">
        <v>63</v>
      </c>
      <c r="D309" s="88" t="s">
        <v>574</v>
      </c>
      <c r="E309" s="83">
        <v>17.51</v>
      </c>
      <c r="F309" s="83">
        <v>5.67</v>
      </c>
      <c r="G309" s="83">
        <f t="shared" si="5"/>
        <v>99.2817</v>
      </c>
    </row>
    <row r="310" spans="1:7" ht="25.5">
      <c r="A310" s="182">
        <v>25055000</v>
      </c>
      <c r="B310" s="87" t="s">
        <v>672</v>
      </c>
      <c r="C310" s="87" t="s">
        <v>64</v>
      </c>
      <c r="D310" s="88" t="s">
        <v>574</v>
      </c>
      <c r="E310" s="83">
        <v>17.51</v>
      </c>
      <c r="F310" s="83">
        <v>5.67</v>
      </c>
      <c r="G310" s="83">
        <f t="shared" si="5"/>
        <v>99.2817</v>
      </c>
    </row>
    <row r="311" spans="1:7" ht="15">
      <c r="A311" s="182">
        <v>25056000</v>
      </c>
      <c r="B311" s="87" t="s">
        <v>328</v>
      </c>
      <c r="C311" s="87" t="s">
        <v>65</v>
      </c>
      <c r="D311" s="88" t="s">
        <v>532</v>
      </c>
      <c r="E311" s="83">
        <v>13</v>
      </c>
      <c r="F311" s="83">
        <v>7.4</v>
      </c>
      <c r="G311" s="83">
        <f t="shared" si="5"/>
        <v>96.2</v>
      </c>
    </row>
    <row r="312" spans="1:7" ht="15">
      <c r="A312" s="182">
        <v>25057000</v>
      </c>
      <c r="B312" s="87" t="s">
        <v>328</v>
      </c>
      <c r="C312" s="87" t="s">
        <v>66</v>
      </c>
      <c r="D312" s="88" t="s">
        <v>532</v>
      </c>
      <c r="E312" s="83">
        <v>2</v>
      </c>
      <c r="F312" s="83">
        <v>7.4</v>
      </c>
      <c r="G312" s="83">
        <f t="shared" si="5"/>
        <v>14.8</v>
      </c>
    </row>
    <row r="313" spans="1:7" ht="15">
      <c r="A313" s="182">
        <v>25058000</v>
      </c>
      <c r="B313" s="87" t="s">
        <v>328</v>
      </c>
      <c r="C313" s="87" t="s">
        <v>67</v>
      </c>
      <c r="D313" s="88" t="s">
        <v>532</v>
      </c>
      <c r="E313" s="83">
        <v>33</v>
      </c>
      <c r="F313" s="83">
        <v>7.4</v>
      </c>
      <c r="G313" s="83">
        <f t="shared" si="5"/>
        <v>244.20000000000002</v>
      </c>
    </row>
    <row r="314" spans="1:7" ht="15">
      <c r="A314" s="182">
        <v>25059000</v>
      </c>
      <c r="B314" s="87" t="s">
        <v>326</v>
      </c>
      <c r="C314" s="87" t="s">
        <v>68</v>
      </c>
      <c r="D314" s="88" t="s">
        <v>532</v>
      </c>
      <c r="E314" s="83">
        <v>4</v>
      </c>
      <c r="F314" s="83">
        <v>46</v>
      </c>
      <c r="G314" s="83">
        <f t="shared" si="5"/>
        <v>184</v>
      </c>
    </row>
    <row r="315" spans="1:7" ht="51">
      <c r="A315" s="182">
        <v>25060000</v>
      </c>
      <c r="B315" s="87" t="s">
        <v>69</v>
      </c>
      <c r="C315" s="87" t="s">
        <v>70</v>
      </c>
      <c r="D315" s="88" t="s">
        <v>532</v>
      </c>
      <c r="E315" s="83">
        <v>3</v>
      </c>
      <c r="F315" s="83">
        <v>281.89</v>
      </c>
      <c r="G315" s="83">
        <f t="shared" si="5"/>
        <v>845.67</v>
      </c>
    </row>
    <row r="316" spans="1:7" ht="51">
      <c r="A316" s="182">
        <v>25061000</v>
      </c>
      <c r="B316" s="87" t="s">
        <v>71</v>
      </c>
      <c r="C316" s="87" t="s">
        <v>72</v>
      </c>
      <c r="D316" s="88" t="s">
        <v>532</v>
      </c>
      <c r="E316" s="83">
        <v>1</v>
      </c>
      <c r="F316" s="83">
        <v>513.16</v>
      </c>
      <c r="G316" s="83">
        <f t="shared" si="5"/>
        <v>513.16</v>
      </c>
    </row>
    <row r="317" spans="1:7" ht="25.5">
      <c r="A317" s="182">
        <v>25062000</v>
      </c>
      <c r="B317" s="87" t="s">
        <v>73</v>
      </c>
      <c r="C317" s="87" t="s">
        <v>74</v>
      </c>
      <c r="D317" s="88" t="s">
        <v>532</v>
      </c>
      <c r="E317" s="83">
        <v>6</v>
      </c>
      <c r="F317" s="83">
        <v>54.36</v>
      </c>
      <c r="G317" s="83">
        <f t="shared" si="5"/>
        <v>326.15999999999997</v>
      </c>
    </row>
    <row r="318" spans="1:7" ht="14.25" customHeight="1">
      <c r="A318" s="193">
        <v>26000000</v>
      </c>
      <c r="B318" s="160"/>
      <c r="C318" s="256" t="s">
        <v>75</v>
      </c>
      <c r="D318" s="256"/>
      <c r="E318" s="256"/>
      <c r="F318" s="256"/>
      <c r="G318" s="161">
        <f>SUM(G319:G326)</f>
        <v>15448.46</v>
      </c>
    </row>
    <row r="319" spans="1:7" ht="15">
      <c r="A319" s="185">
        <v>26001000</v>
      </c>
      <c r="B319" s="87">
        <v>72253</v>
      </c>
      <c r="C319" s="87" t="s">
        <v>76</v>
      </c>
      <c r="D319" s="88" t="s">
        <v>574</v>
      </c>
      <c r="E319" s="83">
        <v>400</v>
      </c>
      <c r="F319" s="83">
        <v>12.44</v>
      </c>
      <c r="G319" s="83">
        <f t="shared" si="5"/>
        <v>4976</v>
      </c>
    </row>
    <row r="320" spans="1:7" ht="15">
      <c r="A320" s="185">
        <v>26002000</v>
      </c>
      <c r="B320" s="87">
        <v>72254</v>
      </c>
      <c r="C320" s="87" t="s">
        <v>77</v>
      </c>
      <c r="D320" s="88" t="s">
        <v>574</v>
      </c>
      <c r="E320" s="83">
        <v>40</v>
      </c>
      <c r="F320" s="83">
        <v>16.79</v>
      </c>
      <c r="G320" s="83">
        <f t="shared" si="5"/>
        <v>671.5999999999999</v>
      </c>
    </row>
    <row r="321" spans="1:7" ht="15">
      <c r="A321" s="185">
        <v>26003000</v>
      </c>
      <c r="B321" s="87" t="s">
        <v>78</v>
      </c>
      <c r="C321" s="87" t="s">
        <v>79</v>
      </c>
      <c r="D321" s="88" t="s">
        <v>532</v>
      </c>
      <c r="E321" s="83">
        <v>441</v>
      </c>
      <c r="F321" s="83">
        <v>0.94</v>
      </c>
      <c r="G321" s="83">
        <f t="shared" si="5"/>
        <v>414.53999999999996</v>
      </c>
    </row>
    <row r="322" spans="1:7" ht="38.25">
      <c r="A322" s="185">
        <v>26004000</v>
      </c>
      <c r="B322" s="87" t="s">
        <v>80</v>
      </c>
      <c r="C322" s="87" t="s">
        <v>81</v>
      </c>
      <c r="D322" s="88" t="s">
        <v>532</v>
      </c>
      <c r="E322" s="83">
        <v>360</v>
      </c>
      <c r="F322" s="83">
        <v>7.05</v>
      </c>
      <c r="G322" s="83">
        <f t="shared" si="5"/>
        <v>2538</v>
      </c>
    </row>
    <row r="323" spans="1:7" ht="25.5">
      <c r="A323" s="185">
        <v>26005000</v>
      </c>
      <c r="B323" s="87" t="s">
        <v>82</v>
      </c>
      <c r="C323" s="87" t="s">
        <v>83</v>
      </c>
      <c r="D323" s="88" t="s">
        <v>532</v>
      </c>
      <c r="E323" s="83">
        <v>330</v>
      </c>
      <c r="F323" s="83">
        <v>14.84</v>
      </c>
      <c r="G323" s="83">
        <f aca="true" t="shared" si="6" ref="G323:G355">F323*E323</f>
        <v>4897.2</v>
      </c>
    </row>
    <row r="324" spans="1:7" ht="25.5">
      <c r="A324" s="185">
        <v>26006000</v>
      </c>
      <c r="B324" s="87" t="s">
        <v>84</v>
      </c>
      <c r="C324" s="87" t="s">
        <v>85</v>
      </c>
      <c r="D324" s="88" t="s">
        <v>532</v>
      </c>
      <c r="E324" s="83">
        <v>441</v>
      </c>
      <c r="F324" s="83">
        <v>2.4</v>
      </c>
      <c r="G324" s="83">
        <f t="shared" si="6"/>
        <v>1058.3999999999999</v>
      </c>
    </row>
    <row r="325" spans="1:7" ht="25.5">
      <c r="A325" s="185">
        <v>26007000</v>
      </c>
      <c r="B325" s="87" t="s">
        <v>86</v>
      </c>
      <c r="C325" s="87" t="s">
        <v>87</v>
      </c>
      <c r="D325" s="88" t="s">
        <v>532</v>
      </c>
      <c r="E325" s="83">
        <v>2</v>
      </c>
      <c r="F325" s="83">
        <v>16.46</v>
      </c>
      <c r="G325" s="83">
        <f t="shared" si="6"/>
        <v>32.92</v>
      </c>
    </row>
    <row r="326" spans="1:7" ht="38.25">
      <c r="A326" s="185">
        <v>26008000</v>
      </c>
      <c r="B326" s="87" t="s">
        <v>88</v>
      </c>
      <c r="C326" s="87" t="s">
        <v>89</v>
      </c>
      <c r="D326" s="88" t="s">
        <v>532</v>
      </c>
      <c r="E326" s="83">
        <v>3</v>
      </c>
      <c r="F326" s="83">
        <v>286.6</v>
      </c>
      <c r="G326" s="83">
        <f t="shared" si="6"/>
        <v>859.8000000000001</v>
      </c>
    </row>
    <row r="327" spans="1:7" ht="14.25" customHeight="1">
      <c r="A327" s="181">
        <v>27000000</v>
      </c>
      <c r="B327" s="160"/>
      <c r="C327" s="256" t="s">
        <v>90</v>
      </c>
      <c r="D327" s="256"/>
      <c r="E327" s="256"/>
      <c r="F327" s="256"/>
      <c r="G327" s="161">
        <f>SUM(G328:G355)</f>
        <v>11207.4245</v>
      </c>
    </row>
    <row r="328" spans="1:7" ht="25.5">
      <c r="A328" s="182">
        <v>27001000</v>
      </c>
      <c r="B328" s="87">
        <v>73613</v>
      </c>
      <c r="C328" s="87" t="s">
        <v>286</v>
      </c>
      <c r="D328" s="88" t="s">
        <v>574</v>
      </c>
      <c r="E328" s="83">
        <v>131.97</v>
      </c>
      <c r="F328" s="83">
        <v>4.46</v>
      </c>
      <c r="G328" s="83">
        <f t="shared" si="6"/>
        <v>588.5862</v>
      </c>
    </row>
    <row r="329" spans="1:7" ht="38.25">
      <c r="A329" s="182">
        <v>27002000</v>
      </c>
      <c r="B329" s="87">
        <v>73621</v>
      </c>
      <c r="C329" s="87" t="s">
        <v>346</v>
      </c>
      <c r="D329" s="88" t="s">
        <v>532</v>
      </c>
      <c r="E329" s="83">
        <v>42</v>
      </c>
      <c r="F329" s="83">
        <v>1.63</v>
      </c>
      <c r="G329" s="83">
        <f t="shared" si="6"/>
        <v>68.46</v>
      </c>
    </row>
    <row r="330" spans="1:7" ht="25.5">
      <c r="A330" s="182">
        <v>27003000</v>
      </c>
      <c r="B330" s="87" t="s">
        <v>329</v>
      </c>
      <c r="C330" s="87" t="s">
        <v>347</v>
      </c>
      <c r="D330" s="88" t="s">
        <v>532</v>
      </c>
      <c r="E330" s="83">
        <v>21</v>
      </c>
      <c r="F330" s="83">
        <v>8.14</v>
      </c>
      <c r="G330" s="83">
        <f t="shared" si="6"/>
        <v>170.94</v>
      </c>
    </row>
    <row r="331" spans="1:7" ht="25.5">
      <c r="A331" s="182">
        <v>27004000</v>
      </c>
      <c r="B331" s="87">
        <v>75819</v>
      </c>
      <c r="C331" s="87" t="s">
        <v>294</v>
      </c>
      <c r="D331" s="88" t="s">
        <v>532</v>
      </c>
      <c r="E331" s="83">
        <v>1</v>
      </c>
      <c r="F331" s="83">
        <v>10.82</v>
      </c>
      <c r="G331" s="83">
        <f t="shared" si="6"/>
        <v>10.82</v>
      </c>
    </row>
    <row r="332" spans="1:7" ht="25.5">
      <c r="A332" s="182">
        <v>27005000</v>
      </c>
      <c r="B332" s="87">
        <v>75824</v>
      </c>
      <c r="C332" s="87" t="s">
        <v>296</v>
      </c>
      <c r="D332" s="88" t="s">
        <v>532</v>
      </c>
      <c r="E332" s="83">
        <v>2</v>
      </c>
      <c r="F332" s="83">
        <v>17.08</v>
      </c>
      <c r="G332" s="83">
        <f t="shared" si="6"/>
        <v>34.16</v>
      </c>
    </row>
    <row r="333" spans="1:7" ht="25.5">
      <c r="A333" s="182">
        <v>27006000</v>
      </c>
      <c r="B333" s="87">
        <v>76017</v>
      </c>
      <c r="C333" s="87" t="s">
        <v>348</v>
      </c>
      <c r="D333" s="88" t="s">
        <v>532</v>
      </c>
      <c r="E333" s="83">
        <v>1</v>
      </c>
      <c r="F333" s="83">
        <v>18.14</v>
      </c>
      <c r="G333" s="83">
        <f t="shared" si="6"/>
        <v>18.14</v>
      </c>
    </row>
    <row r="334" spans="1:7" ht="15">
      <c r="A334" s="182">
        <v>27007000</v>
      </c>
      <c r="B334" s="87" t="s">
        <v>298</v>
      </c>
      <c r="C334" s="87" t="s">
        <v>299</v>
      </c>
      <c r="D334" s="88" t="s">
        <v>532</v>
      </c>
      <c r="E334" s="83">
        <v>54</v>
      </c>
      <c r="F334" s="83">
        <v>3.19</v>
      </c>
      <c r="G334" s="83">
        <f t="shared" si="6"/>
        <v>172.26</v>
      </c>
    </row>
    <row r="335" spans="1:7" ht="15">
      <c r="A335" s="182">
        <v>27008000</v>
      </c>
      <c r="B335" s="87" t="s">
        <v>308</v>
      </c>
      <c r="C335" s="87" t="s">
        <v>309</v>
      </c>
      <c r="D335" s="88" t="s">
        <v>532</v>
      </c>
      <c r="E335" s="83">
        <v>108</v>
      </c>
      <c r="F335" s="83">
        <v>1.44</v>
      </c>
      <c r="G335" s="83">
        <f t="shared" si="6"/>
        <v>155.51999999999998</v>
      </c>
    </row>
    <row r="336" spans="1:7" ht="15">
      <c r="A336" s="182">
        <v>27009000</v>
      </c>
      <c r="B336" s="87" t="s">
        <v>349</v>
      </c>
      <c r="C336" s="87" t="s">
        <v>350</v>
      </c>
      <c r="D336" s="88" t="s">
        <v>532</v>
      </c>
      <c r="E336" s="83">
        <v>2</v>
      </c>
      <c r="F336" s="83">
        <v>0.38</v>
      </c>
      <c r="G336" s="83">
        <f t="shared" si="6"/>
        <v>0.76</v>
      </c>
    </row>
    <row r="337" spans="1:7" ht="15">
      <c r="A337" s="182">
        <v>27010000</v>
      </c>
      <c r="B337" s="87" t="s">
        <v>351</v>
      </c>
      <c r="C337" s="87" t="s">
        <v>352</v>
      </c>
      <c r="D337" s="88" t="s">
        <v>532</v>
      </c>
      <c r="E337" s="83">
        <v>42</v>
      </c>
      <c r="F337" s="83">
        <v>0.34</v>
      </c>
      <c r="G337" s="83">
        <f t="shared" si="6"/>
        <v>14.280000000000001</v>
      </c>
    </row>
    <row r="338" spans="1:7" ht="15">
      <c r="A338" s="182">
        <v>27011000</v>
      </c>
      <c r="B338" s="87" t="s">
        <v>353</v>
      </c>
      <c r="C338" s="87" t="s">
        <v>354</v>
      </c>
      <c r="D338" s="88" t="s">
        <v>532</v>
      </c>
      <c r="E338" s="83">
        <v>52</v>
      </c>
      <c r="F338" s="83">
        <v>0.16</v>
      </c>
      <c r="G338" s="83">
        <f t="shared" si="6"/>
        <v>8.32</v>
      </c>
    </row>
    <row r="339" spans="1:7" ht="15">
      <c r="A339" s="182">
        <v>27012000</v>
      </c>
      <c r="B339" s="87">
        <v>75833</v>
      </c>
      <c r="C339" s="87" t="s">
        <v>316</v>
      </c>
      <c r="D339" s="88" t="s">
        <v>532</v>
      </c>
      <c r="E339" s="83">
        <v>21</v>
      </c>
      <c r="F339" s="83">
        <v>6.89</v>
      </c>
      <c r="G339" s="83">
        <f t="shared" si="6"/>
        <v>144.69</v>
      </c>
    </row>
    <row r="340" spans="1:7" ht="15">
      <c r="A340" s="182">
        <v>27013000</v>
      </c>
      <c r="B340" s="87" t="s">
        <v>355</v>
      </c>
      <c r="C340" s="87" t="s">
        <v>356</v>
      </c>
      <c r="D340" s="88" t="s">
        <v>532</v>
      </c>
      <c r="E340" s="83">
        <v>52</v>
      </c>
      <c r="F340" s="83">
        <v>0.6</v>
      </c>
      <c r="G340" s="83">
        <f t="shared" si="6"/>
        <v>31.2</v>
      </c>
    </row>
    <row r="341" spans="1:7" ht="15">
      <c r="A341" s="182">
        <v>27014000</v>
      </c>
      <c r="B341" s="87">
        <v>72934</v>
      </c>
      <c r="C341" s="87" t="s">
        <v>335</v>
      </c>
      <c r="D341" s="88" t="s">
        <v>574</v>
      </c>
      <c r="E341" s="83">
        <v>21</v>
      </c>
      <c r="F341" s="83">
        <v>2.98</v>
      </c>
      <c r="G341" s="83">
        <f t="shared" si="6"/>
        <v>62.58</v>
      </c>
    </row>
    <row r="342" spans="1:7" ht="15">
      <c r="A342" s="182">
        <v>27015000</v>
      </c>
      <c r="B342" s="87" t="s">
        <v>357</v>
      </c>
      <c r="C342" s="87" t="s">
        <v>358</v>
      </c>
      <c r="D342" s="88" t="s">
        <v>574</v>
      </c>
      <c r="E342" s="83">
        <v>7</v>
      </c>
      <c r="F342" s="83">
        <v>4.97</v>
      </c>
      <c r="G342" s="83">
        <f t="shared" si="6"/>
        <v>34.79</v>
      </c>
    </row>
    <row r="343" spans="1:7" ht="15">
      <c r="A343" s="182">
        <v>27016000</v>
      </c>
      <c r="B343" s="87" t="s">
        <v>359</v>
      </c>
      <c r="C343" s="87" t="s">
        <v>360</v>
      </c>
      <c r="D343" s="88" t="s">
        <v>532</v>
      </c>
      <c r="E343" s="83">
        <v>21</v>
      </c>
      <c r="F343" s="83">
        <v>5.19</v>
      </c>
      <c r="G343" s="83">
        <f t="shared" si="6"/>
        <v>108.99000000000001</v>
      </c>
    </row>
    <row r="344" spans="1:7" ht="25.5">
      <c r="A344" s="182">
        <v>27017000</v>
      </c>
      <c r="B344" s="87" t="s">
        <v>361</v>
      </c>
      <c r="C344" s="87" t="s">
        <v>362</v>
      </c>
      <c r="D344" s="88" t="s">
        <v>532</v>
      </c>
      <c r="E344" s="83">
        <v>22</v>
      </c>
      <c r="F344" s="83">
        <v>168.05</v>
      </c>
      <c r="G344" s="83">
        <f t="shared" si="6"/>
        <v>3697.1000000000004</v>
      </c>
    </row>
    <row r="345" spans="1:7" ht="25.5">
      <c r="A345" s="182">
        <v>27018000</v>
      </c>
      <c r="B345" s="87" t="s">
        <v>363</v>
      </c>
      <c r="C345" s="87" t="s">
        <v>364</v>
      </c>
      <c r="D345" s="88" t="s">
        <v>532</v>
      </c>
      <c r="E345" s="83">
        <v>1</v>
      </c>
      <c r="F345" s="83">
        <v>158.05</v>
      </c>
      <c r="G345" s="83">
        <f t="shared" si="6"/>
        <v>158.05</v>
      </c>
    </row>
    <row r="346" spans="1:7" ht="25.5">
      <c r="A346" s="182">
        <v>27019000</v>
      </c>
      <c r="B346" s="87" t="s">
        <v>365</v>
      </c>
      <c r="C346" s="87" t="s">
        <v>366</v>
      </c>
      <c r="D346" s="88" t="s">
        <v>532</v>
      </c>
      <c r="E346" s="83">
        <v>5</v>
      </c>
      <c r="F346" s="83">
        <v>65.9</v>
      </c>
      <c r="G346" s="83">
        <f t="shared" si="6"/>
        <v>329.5</v>
      </c>
    </row>
    <row r="347" spans="1:7" ht="25.5">
      <c r="A347" s="182">
        <v>27020000</v>
      </c>
      <c r="B347" s="87" t="s">
        <v>367</v>
      </c>
      <c r="C347" s="87" t="s">
        <v>368</v>
      </c>
      <c r="D347" s="88" t="s">
        <v>532</v>
      </c>
      <c r="E347" s="83">
        <v>21</v>
      </c>
      <c r="F347" s="83">
        <v>9.71</v>
      </c>
      <c r="G347" s="83">
        <f t="shared" si="6"/>
        <v>203.91000000000003</v>
      </c>
    </row>
    <row r="348" spans="1:7" ht="25.5">
      <c r="A348" s="182">
        <v>27021000</v>
      </c>
      <c r="B348" s="87" t="s">
        <v>369</v>
      </c>
      <c r="C348" s="87" t="s">
        <v>370</v>
      </c>
      <c r="D348" s="88" t="s">
        <v>532</v>
      </c>
      <c r="E348" s="83">
        <v>52</v>
      </c>
      <c r="F348" s="83">
        <v>9.71</v>
      </c>
      <c r="G348" s="83">
        <f t="shared" si="6"/>
        <v>504.9200000000001</v>
      </c>
    </row>
    <row r="349" spans="1:7" ht="25.5">
      <c r="A349" s="182">
        <v>27022000</v>
      </c>
      <c r="B349" s="87" t="s">
        <v>371</v>
      </c>
      <c r="C349" s="87" t="s">
        <v>372</v>
      </c>
      <c r="D349" s="88" t="s">
        <v>574</v>
      </c>
      <c r="E349" s="83">
        <v>123.07</v>
      </c>
      <c r="F349" s="83">
        <v>2.69</v>
      </c>
      <c r="G349" s="83">
        <f t="shared" si="6"/>
        <v>331.0583</v>
      </c>
    </row>
    <row r="350" spans="1:7" ht="25.5">
      <c r="A350" s="182">
        <v>27023000</v>
      </c>
      <c r="B350" s="87" t="s">
        <v>373</v>
      </c>
      <c r="C350" s="87" t="s">
        <v>374</v>
      </c>
      <c r="D350" s="88" t="s">
        <v>532</v>
      </c>
      <c r="E350" s="83">
        <v>64</v>
      </c>
      <c r="F350" s="83">
        <v>3.05</v>
      </c>
      <c r="G350" s="83">
        <f t="shared" si="6"/>
        <v>195.2</v>
      </c>
    </row>
    <row r="351" spans="1:7" ht="15">
      <c r="A351" s="182">
        <v>27024000</v>
      </c>
      <c r="B351" s="87" t="s">
        <v>375</v>
      </c>
      <c r="C351" s="87" t="s">
        <v>376</v>
      </c>
      <c r="D351" s="88" t="s">
        <v>532</v>
      </c>
      <c r="E351" s="83">
        <v>26</v>
      </c>
      <c r="F351" s="83">
        <v>13.42</v>
      </c>
      <c r="G351" s="83">
        <f t="shared" si="6"/>
        <v>348.92</v>
      </c>
    </row>
    <row r="352" spans="1:7" ht="25.5">
      <c r="A352" s="182">
        <v>27025000</v>
      </c>
      <c r="B352" s="87" t="s">
        <v>377</v>
      </c>
      <c r="C352" s="87" t="s">
        <v>378</v>
      </c>
      <c r="D352" s="88" t="s">
        <v>532</v>
      </c>
      <c r="E352" s="83">
        <v>42</v>
      </c>
      <c r="F352" s="83">
        <v>6.96</v>
      </c>
      <c r="G352" s="83">
        <f t="shared" si="6"/>
        <v>292.32</v>
      </c>
    </row>
    <row r="353" spans="1:7" ht="25.5">
      <c r="A353" s="182">
        <v>27026000</v>
      </c>
      <c r="B353" s="87" t="s">
        <v>379</v>
      </c>
      <c r="C353" s="87" t="s">
        <v>380</v>
      </c>
      <c r="D353" s="88" t="s">
        <v>532</v>
      </c>
      <c r="E353" s="83">
        <v>5</v>
      </c>
      <c r="F353" s="83">
        <v>2.95</v>
      </c>
      <c r="G353" s="83">
        <f t="shared" si="6"/>
        <v>14.75</v>
      </c>
    </row>
    <row r="354" spans="1:7" ht="25.5">
      <c r="A354" s="182">
        <v>27027000</v>
      </c>
      <c r="B354" s="87" t="s">
        <v>381</v>
      </c>
      <c r="C354" s="87" t="s">
        <v>382</v>
      </c>
      <c r="D354" s="88" t="s">
        <v>532</v>
      </c>
      <c r="E354" s="83">
        <v>2</v>
      </c>
      <c r="F354" s="83">
        <v>1670.65</v>
      </c>
      <c r="G354" s="83">
        <f t="shared" si="6"/>
        <v>3341.3</v>
      </c>
    </row>
    <row r="355" spans="1:7" ht="25.5">
      <c r="A355" s="182">
        <v>27028000</v>
      </c>
      <c r="B355" s="87" t="s">
        <v>383</v>
      </c>
      <c r="C355" s="87" t="s">
        <v>384</v>
      </c>
      <c r="D355" s="88" t="s">
        <v>532</v>
      </c>
      <c r="E355" s="83">
        <v>42</v>
      </c>
      <c r="F355" s="83">
        <v>3.95</v>
      </c>
      <c r="G355" s="83">
        <f t="shared" si="6"/>
        <v>165.9</v>
      </c>
    </row>
    <row r="356" spans="1:7" ht="14.25" customHeight="1">
      <c r="A356" s="181">
        <v>28000000</v>
      </c>
      <c r="B356" s="160"/>
      <c r="C356" s="256" t="s">
        <v>385</v>
      </c>
      <c r="D356" s="256"/>
      <c r="E356" s="256"/>
      <c r="F356" s="256"/>
      <c r="G356" s="161">
        <f>SUM(G357:G388)</f>
        <v>26888.477</v>
      </c>
    </row>
    <row r="357" spans="1:7" ht="25.5">
      <c r="A357" s="182">
        <v>28001000</v>
      </c>
      <c r="B357" s="87">
        <v>73613</v>
      </c>
      <c r="C357" s="87" t="s">
        <v>286</v>
      </c>
      <c r="D357" s="88" t="s">
        <v>574</v>
      </c>
      <c r="E357" s="83">
        <v>564.16</v>
      </c>
      <c r="F357" s="83">
        <v>4.46</v>
      </c>
      <c r="G357" s="83">
        <f>F357*E357</f>
        <v>2516.1535999999996</v>
      </c>
    </row>
    <row r="358" spans="1:7" ht="25.5">
      <c r="A358" s="182">
        <v>28002000</v>
      </c>
      <c r="B358" s="87" t="s">
        <v>386</v>
      </c>
      <c r="C358" s="87" t="s">
        <v>387</v>
      </c>
      <c r="D358" s="88" t="s">
        <v>574</v>
      </c>
      <c r="E358" s="83">
        <v>155.82</v>
      </c>
      <c r="F358" s="83">
        <v>12.9</v>
      </c>
      <c r="G358" s="83">
        <f aca="true" t="shared" si="7" ref="G358:G418">F358*E358</f>
        <v>2010.078</v>
      </c>
    </row>
    <row r="359" spans="1:7" ht="25.5">
      <c r="A359" s="182">
        <v>28003000</v>
      </c>
      <c r="B359" s="87" t="s">
        <v>289</v>
      </c>
      <c r="C359" s="87" t="s">
        <v>290</v>
      </c>
      <c r="D359" s="88" t="s">
        <v>574</v>
      </c>
      <c r="E359" s="83">
        <v>31.91</v>
      </c>
      <c r="F359" s="83">
        <v>7.7</v>
      </c>
      <c r="G359" s="83">
        <f t="shared" si="7"/>
        <v>245.707</v>
      </c>
    </row>
    <row r="360" spans="1:7" ht="15">
      <c r="A360" s="182">
        <v>28004000</v>
      </c>
      <c r="B360" s="87" t="s">
        <v>292</v>
      </c>
      <c r="C360" s="87" t="s">
        <v>293</v>
      </c>
      <c r="D360" s="88" t="s">
        <v>532</v>
      </c>
      <c r="E360" s="83">
        <v>13</v>
      </c>
      <c r="F360" s="83">
        <v>55.55</v>
      </c>
      <c r="G360" s="83">
        <f t="shared" si="7"/>
        <v>722.15</v>
      </c>
    </row>
    <row r="361" spans="1:7" ht="25.5">
      <c r="A361" s="182">
        <v>28005000</v>
      </c>
      <c r="B361" s="87">
        <v>75819</v>
      </c>
      <c r="C361" s="87" t="s">
        <v>294</v>
      </c>
      <c r="D361" s="88" t="s">
        <v>532</v>
      </c>
      <c r="E361" s="83">
        <v>6</v>
      </c>
      <c r="F361" s="83">
        <v>10.82</v>
      </c>
      <c r="G361" s="83">
        <f t="shared" si="7"/>
        <v>64.92</v>
      </c>
    </row>
    <row r="362" spans="1:7" ht="25.5">
      <c r="A362" s="182">
        <v>28006000</v>
      </c>
      <c r="B362" s="87">
        <v>75822</v>
      </c>
      <c r="C362" s="87" t="s">
        <v>295</v>
      </c>
      <c r="D362" s="88" t="s">
        <v>532</v>
      </c>
      <c r="E362" s="83">
        <v>3</v>
      </c>
      <c r="F362" s="83">
        <v>10.8</v>
      </c>
      <c r="G362" s="83">
        <f t="shared" si="7"/>
        <v>32.400000000000006</v>
      </c>
    </row>
    <row r="363" spans="1:7" ht="25.5">
      <c r="A363" s="182">
        <v>28007000</v>
      </c>
      <c r="B363" s="87">
        <v>75824</v>
      </c>
      <c r="C363" s="87" t="s">
        <v>296</v>
      </c>
      <c r="D363" s="88" t="s">
        <v>532</v>
      </c>
      <c r="E363" s="83">
        <v>8</v>
      </c>
      <c r="F363" s="83">
        <v>17.08</v>
      </c>
      <c r="G363" s="83">
        <f t="shared" si="7"/>
        <v>136.64</v>
      </c>
    </row>
    <row r="364" spans="1:7" ht="15">
      <c r="A364" s="182">
        <v>28008000</v>
      </c>
      <c r="B364" s="87" t="s">
        <v>298</v>
      </c>
      <c r="C364" s="87" t="s">
        <v>299</v>
      </c>
      <c r="D364" s="88" t="s">
        <v>532</v>
      </c>
      <c r="E364" s="83">
        <v>98</v>
      </c>
      <c r="F364" s="83">
        <v>3.19</v>
      </c>
      <c r="G364" s="83">
        <f t="shared" si="7"/>
        <v>312.62</v>
      </c>
    </row>
    <row r="365" spans="1:7" ht="15">
      <c r="A365" s="182">
        <v>28009000</v>
      </c>
      <c r="B365" s="87" t="s">
        <v>300</v>
      </c>
      <c r="C365" s="87" t="s">
        <v>301</v>
      </c>
      <c r="D365" s="88" t="s">
        <v>532</v>
      </c>
      <c r="E365" s="83">
        <v>8</v>
      </c>
      <c r="F365" s="83">
        <v>4.57</v>
      </c>
      <c r="G365" s="83">
        <f t="shared" si="7"/>
        <v>36.56</v>
      </c>
    </row>
    <row r="366" spans="1:7" ht="15">
      <c r="A366" s="182">
        <v>28010000</v>
      </c>
      <c r="B366" s="87" t="s">
        <v>308</v>
      </c>
      <c r="C366" s="87" t="s">
        <v>309</v>
      </c>
      <c r="D366" s="88" t="s">
        <v>532</v>
      </c>
      <c r="E366" s="83">
        <v>196</v>
      </c>
      <c r="F366" s="83">
        <v>1.44</v>
      </c>
      <c r="G366" s="83">
        <f t="shared" si="7"/>
        <v>282.24</v>
      </c>
    </row>
    <row r="367" spans="1:7" ht="15">
      <c r="A367" s="182">
        <v>28011000</v>
      </c>
      <c r="B367" s="87" t="s">
        <v>310</v>
      </c>
      <c r="C367" s="87" t="s">
        <v>311</v>
      </c>
      <c r="D367" s="88" t="s">
        <v>532</v>
      </c>
      <c r="E367" s="83">
        <v>16</v>
      </c>
      <c r="F367" s="83">
        <v>1.86</v>
      </c>
      <c r="G367" s="83">
        <f t="shared" si="7"/>
        <v>29.76</v>
      </c>
    </row>
    <row r="368" spans="1:7" ht="15">
      <c r="A368" s="182">
        <v>28012000</v>
      </c>
      <c r="B368" s="87">
        <v>75834</v>
      </c>
      <c r="C368" s="87" t="s">
        <v>317</v>
      </c>
      <c r="D368" s="88" t="s">
        <v>532</v>
      </c>
      <c r="E368" s="83">
        <v>1</v>
      </c>
      <c r="F368" s="83">
        <v>6.25</v>
      </c>
      <c r="G368" s="83">
        <f t="shared" si="7"/>
        <v>6.25</v>
      </c>
    </row>
    <row r="369" spans="1:7" ht="15">
      <c r="A369" s="182">
        <v>28013000</v>
      </c>
      <c r="B369" s="87" t="s">
        <v>388</v>
      </c>
      <c r="C369" s="87" t="s">
        <v>389</v>
      </c>
      <c r="D369" s="88" t="s">
        <v>532</v>
      </c>
      <c r="E369" s="83">
        <v>21</v>
      </c>
      <c r="F369" s="83">
        <v>3.72</v>
      </c>
      <c r="G369" s="83">
        <f t="shared" si="7"/>
        <v>78.12</v>
      </c>
    </row>
    <row r="370" spans="1:7" ht="15">
      <c r="A370" s="182">
        <v>28014000</v>
      </c>
      <c r="B370" s="87" t="s">
        <v>390</v>
      </c>
      <c r="C370" s="87" t="s">
        <v>440</v>
      </c>
      <c r="D370" s="88" t="s">
        <v>574</v>
      </c>
      <c r="E370" s="83">
        <v>84.1</v>
      </c>
      <c r="F370" s="83">
        <v>27.46</v>
      </c>
      <c r="G370" s="83">
        <f t="shared" si="7"/>
        <v>2309.386</v>
      </c>
    </row>
    <row r="371" spans="1:7" ht="15">
      <c r="A371" s="182">
        <v>28015000</v>
      </c>
      <c r="B371" s="87" t="s">
        <v>441</v>
      </c>
      <c r="C371" s="87" t="s">
        <v>442</v>
      </c>
      <c r="D371" s="88" t="s">
        <v>532</v>
      </c>
      <c r="E371" s="83">
        <v>72</v>
      </c>
      <c r="F371" s="83">
        <v>2.03</v>
      </c>
      <c r="G371" s="83">
        <f t="shared" si="7"/>
        <v>146.16</v>
      </c>
    </row>
    <row r="372" spans="1:7" ht="15">
      <c r="A372" s="182">
        <v>28016000</v>
      </c>
      <c r="B372" s="87" t="s">
        <v>443</v>
      </c>
      <c r="C372" s="87" t="s">
        <v>444</v>
      </c>
      <c r="D372" s="88" t="s">
        <v>574</v>
      </c>
      <c r="E372" s="83">
        <v>1809.46</v>
      </c>
      <c r="F372" s="83">
        <v>2.94</v>
      </c>
      <c r="G372" s="83">
        <f t="shared" si="7"/>
        <v>5319.8124</v>
      </c>
    </row>
    <row r="373" spans="1:7" ht="15">
      <c r="A373" s="182">
        <v>28017000</v>
      </c>
      <c r="B373" s="87" t="s">
        <v>445</v>
      </c>
      <c r="C373" s="87" t="s">
        <v>446</v>
      </c>
      <c r="D373" s="88" t="s">
        <v>574</v>
      </c>
      <c r="E373" s="83">
        <v>6</v>
      </c>
      <c r="F373" s="83">
        <v>39.72</v>
      </c>
      <c r="G373" s="83">
        <f t="shared" si="7"/>
        <v>238.32</v>
      </c>
    </row>
    <row r="374" spans="1:7" ht="15">
      <c r="A374" s="182">
        <v>28018000</v>
      </c>
      <c r="B374" s="87" t="s">
        <v>447</v>
      </c>
      <c r="C374" s="87" t="s">
        <v>448</v>
      </c>
      <c r="D374" s="88" t="s">
        <v>532</v>
      </c>
      <c r="E374" s="83">
        <v>148</v>
      </c>
      <c r="F374" s="83">
        <v>18.3</v>
      </c>
      <c r="G374" s="83">
        <f t="shared" si="7"/>
        <v>2708.4</v>
      </c>
    </row>
    <row r="375" spans="1:7" ht="15">
      <c r="A375" s="182">
        <v>28019000</v>
      </c>
      <c r="B375" s="87" t="s">
        <v>449</v>
      </c>
      <c r="C375" s="87" t="s">
        <v>450</v>
      </c>
      <c r="D375" s="88" t="s">
        <v>532</v>
      </c>
      <c r="E375" s="83">
        <v>4</v>
      </c>
      <c r="F375" s="83">
        <v>18.3</v>
      </c>
      <c r="G375" s="83">
        <f t="shared" si="7"/>
        <v>73.2</v>
      </c>
    </row>
    <row r="376" spans="1:7" ht="15">
      <c r="A376" s="182">
        <v>28020000</v>
      </c>
      <c r="B376" s="87" t="s">
        <v>451</v>
      </c>
      <c r="C376" s="87" t="s">
        <v>452</v>
      </c>
      <c r="D376" s="88" t="s">
        <v>532</v>
      </c>
      <c r="E376" s="83">
        <v>35</v>
      </c>
      <c r="F376" s="83">
        <v>30.61</v>
      </c>
      <c r="G376" s="83">
        <f t="shared" si="7"/>
        <v>1071.35</v>
      </c>
    </row>
    <row r="377" spans="1:7" ht="15">
      <c r="A377" s="182">
        <v>28021000</v>
      </c>
      <c r="B377" s="87" t="s">
        <v>453</v>
      </c>
      <c r="C377" s="87" t="s">
        <v>454</v>
      </c>
      <c r="D377" s="88" t="s">
        <v>532</v>
      </c>
      <c r="E377" s="83">
        <v>6</v>
      </c>
      <c r="F377" s="83">
        <v>30.61</v>
      </c>
      <c r="G377" s="83">
        <f t="shared" si="7"/>
        <v>183.66</v>
      </c>
    </row>
    <row r="378" spans="1:7" ht="25.5">
      <c r="A378" s="182">
        <v>28022000</v>
      </c>
      <c r="B378" s="87" t="s">
        <v>455</v>
      </c>
      <c r="C378" s="87" t="s">
        <v>456</v>
      </c>
      <c r="D378" s="88" t="s">
        <v>532</v>
      </c>
      <c r="E378" s="83">
        <v>2</v>
      </c>
      <c r="F378" s="83">
        <v>724.51</v>
      </c>
      <c r="G378" s="83">
        <f t="shared" si="7"/>
        <v>1449.02</v>
      </c>
    </row>
    <row r="379" spans="1:7" ht="15">
      <c r="A379" s="182">
        <v>28023000</v>
      </c>
      <c r="B379" s="87" t="s">
        <v>457</v>
      </c>
      <c r="C379" s="87" t="s">
        <v>458</v>
      </c>
      <c r="D379" s="88" t="s">
        <v>532</v>
      </c>
      <c r="E379" s="83">
        <v>2</v>
      </c>
      <c r="F379" s="83">
        <v>1075.68</v>
      </c>
      <c r="G379" s="83">
        <f t="shared" si="7"/>
        <v>2151.36</v>
      </c>
    </row>
    <row r="380" spans="1:7" ht="15">
      <c r="A380" s="182">
        <v>28024000</v>
      </c>
      <c r="B380" s="87" t="s">
        <v>459</v>
      </c>
      <c r="C380" s="87" t="s">
        <v>460</v>
      </c>
      <c r="D380" s="88" t="s">
        <v>532</v>
      </c>
      <c r="E380" s="83">
        <v>2</v>
      </c>
      <c r="F380" s="83">
        <v>410.77</v>
      </c>
      <c r="G380" s="83">
        <f t="shared" si="7"/>
        <v>821.54</v>
      </c>
    </row>
    <row r="381" spans="1:7" ht="15">
      <c r="A381" s="182">
        <v>28025000</v>
      </c>
      <c r="B381" s="87" t="s">
        <v>462</v>
      </c>
      <c r="C381" s="87" t="s">
        <v>463</v>
      </c>
      <c r="D381" s="88" t="s">
        <v>532</v>
      </c>
      <c r="E381" s="83">
        <v>2</v>
      </c>
      <c r="F381" s="83">
        <v>143.26</v>
      </c>
      <c r="G381" s="83">
        <f t="shared" si="7"/>
        <v>286.52</v>
      </c>
    </row>
    <row r="382" spans="1:7" ht="25.5">
      <c r="A382" s="182">
        <v>28026000</v>
      </c>
      <c r="B382" s="87" t="s">
        <v>464</v>
      </c>
      <c r="C382" s="87" t="s">
        <v>465</v>
      </c>
      <c r="D382" s="88" t="s">
        <v>532</v>
      </c>
      <c r="E382" s="83">
        <v>4</v>
      </c>
      <c r="F382" s="83">
        <v>611.62</v>
      </c>
      <c r="G382" s="83">
        <f t="shared" si="7"/>
        <v>2446.48</v>
      </c>
    </row>
    <row r="383" spans="1:7" ht="15">
      <c r="A383" s="182">
        <v>28027000</v>
      </c>
      <c r="B383" s="87" t="s">
        <v>466</v>
      </c>
      <c r="C383" s="87" t="s">
        <v>467</v>
      </c>
      <c r="D383" s="88" t="s">
        <v>532</v>
      </c>
      <c r="E383" s="83">
        <v>2</v>
      </c>
      <c r="F383" s="83">
        <v>224.74</v>
      </c>
      <c r="G383" s="83">
        <f t="shared" si="7"/>
        <v>449.48</v>
      </c>
    </row>
    <row r="384" spans="1:7" ht="15">
      <c r="A384" s="182">
        <v>28028000</v>
      </c>
      <c r="B384" s="87" t="s">
        <v>468</v>
      </c>
      <c r="C384" s="87" t="s">
        <v>469</v>
      </c>
      <c r="D384" s="88" t="s">
        <v>574</v>
      </c>
      <c r="E384" s="83">
        <v>2</v>
      </c>
      <c r="F384" s="83">
        <v>153.72</v>
      </c>
      <c r="G384" s="83">
        <f t="shared" si="7"/>
        <v>307.44</v>
      </c>
    </row>
    <row r="385" spans="1:7" ht="15">
      <c r="A385" s="182">
        <v>28029000</v>
      </c>
      <c r="B385" s="87" t="s">
        <v>470</v>
      </c>
      <c r="C385" s="87" t="s">
        <v>471</v>
      </c>
      <c r="D385" s="88" t="s">
        <v>532</v>
      </c>
      <c r="E385" s="83">
        <v>2</v>
      </c>
      <c r="F385" s="83">
        <v>182.24</v>
      </c>
      <c r="G385" s="83">
        <f t="shared" si="7"/>
        <v>364.48</v>
      </c>
    </row>
    <row r="386" spans="1:7" ht="15">
      <c r="A386" s="182">
        <v>28030000</v>
      </c>
      <c r="B386" s="87" t="s">
        <v>472</v>
      </c>
      <c r="C386" s="87" t="s">
        <v>473</v>
      </c>
      <c r="D386" s="88" t="s">
        <v>532</v>
      </c>
      <c r="E386" s="83">
        <v>4</v>
      </c>
      <c r="F386" s="83">
        <v>5.57</v>
      </c>
      <c r="G386" s="83">
        <f t="shared" si="7"/>
        <v>22.28</v>
      </c>
    </row>
    <row r="387" spans="1:7" ht="25.5">
      <c r="A387" s="182">
        <v>28031000</v>
      </c>
      <c r="B387" s="87" t="s">
        <v>474</v>
      </c>
      <c r="C387" s="87" t="s">
        <v>475</v>
      </c>
      <c r="D387" s="88" t="s">
        <v>532</v>
      </c>
      <c r="E387" s="83">
        <v>1</v>
      </c>
      <c r="F387" s="83">
        <v>11.63</v>
      </c>
      <c r="G387" s="83">
        <f t="shared" si="7"/>
        <v>11.63</v>
      </c>
    </row>
    <row r="388" spans="1:7" ht="25.5">
      <c r="A388" s="182">
        <v>28032000</v>
      </c>
      <c r="B388" s="87" t="s">
        <v>73</v>
      </c>
      <c r="C388" s="87" t="s">
        <v>74</v>
      </c>
      <c r="D388" s="88" t="s">
        <v>532</v>
      </c>
      <c r="E388" s="83">
        <v>1</v>
      </c>
      <c r="F388" s="83">
        <v>54.36</v>
      </c>
      <c r="G388" s="83">
        <f t="shared" si="7"/>
        <v>54.36</v>
      </c>
    </row>
    <row r="389" spans="1:7" ht="14.25" customHeight="1">
      <c r="A389" s="181">
        <v>29000000</v>
      </c>
      <c r="B389" s="160"/>
      <c r="C389" s="256" t="s">
        <v>476</v>
      </c>
      <c r="D389" s="256"/>
      <c r="E389" s="256"/>
      <c r="F389" s="256"/>
      <c r="G389" s="161">
        <f>SUM(G390:G418)</f>
        <v>2508.3200000000006</v>
      </c>
    </row>
    <row r="390" spans="1:7" ht="15">
      <c r="A390" s="182">
        <v>29001000</v>
      </c>
      <c r="B390" s="87" t="s">
        <v>477</v>
      </c>
      <c r="C390" s="87" t="s">
        <v>478</v>
      </c>
      <c r="D390" s="88" t="s">
        <v>479</v>
      </c>
      <c r="E390" s="83">
        <v>1</v>
      </c>
      <c r="F390" s="83">
        <v>122.76</v>
      </c>
      <c r="G390" s="83">
        <f t="shared" si="7"/>
        <v>122.76</v>
      </c>
    </row>
    <row r="391" spans="1:7" ht="15">
      <c r="A391" s="182">
        <v>29002000</v>
      </c>
      <c r="B391" s="87" t="s">
        <v>480</v>
      </c>
      <c r="C391" s="87" t="s">
        <v>481</v>
      </c>
      <c r="D391" s="88" t="s">
        <v>479</v>
      </c>
      <c r="E391" s="83">
        <v>1</v>
      </c>
      <c r="F391" s="83">
        <v>62.76</v>
      </c>
      <c r="G391" s="83">
        <f t="shared" si="7"/>
        <v>62.76</v>
      </c>
    </row>
    <row r="392" spans="1:7" ht="15">
      <c r="A392" s="182">
        <v>29003000</v>
      </c>
      <c r="B392" s="87" t="s">
        <v>482</v>
      </c>
      <c r="C392" s="87" t="s">
        <v>483</v>
      </c>
      <c r="D392" s="88" t="s">
        <v>479</v>
      </c>
      <c r="E392" s="83">
        <v>1</v>
      </c>
      <c r="F392" s="83">
        <v>62.76</v>
      </c>
      <c r="G392" s="83">
        <f t="shared" si="7"/>
        <v>62.76</v>
      </c>
    </row>
    <row r="393" spans="1:7" ht="15">
      <c r="A393" s="182">
        <v>29004000</v>
      </c>
      <c r="B393" s="87" t="s">
        <v>484</v>
      </c>
      <c r="C393" s="87" t="s">
        <v>485</v>
      </c>
      <c r="D393" s="88" t="s">
        <v>479</v>
      </c>
      <c r="E393" s="83">
        <v>1</v>
      </c>
      <c r="F393" s="83">
        <v>62.76</v>
      </c>
      <c r="G393" s="83">
        <f t="shared" si="7"/>
        <v>62.76</v>
      </c>
    </row>
    <row r="394" spans="1:7" ht="15">
      <c r="A394" s="182">
        <v>29005000</v>
      </c>
      <c r="B394" s="87" t="s">
        <v>486</v>
      </c>
      <c r="C394" s="87" t="s">
        <v>487</v>
      </c>
      <c r="D394" s="88" t="s">
        <v>479</v>
      </c>
      <c r="E394" s="83">
        <v>1</v>
      </c>
      <c r="F394" s="83">
        <v>62.76</v>
      </c>
      <c r="G394" s="83">
        <f t="shared" si="7"/>
        <v>62.76</v>
      </c>
    </row>
    <row r="395" spans="1:7" ht="15">
      <c r="A395" s="182">
        <v>29006000</v>
      </c>
      <c r="B395" s="87" t="s">
        <v>488</v>
      </c>
      <c r="C395" s="87" t="s">
        <v>489</v>
      </c>
      <c r="D395" s="88" t="s">
        <v>479</v>
      </c>
      <c r="E395" s="83">
        <v>1</v>
      </c>
      <c r="F395" s="83">
        <v>62.76</v>
      </c>
      <c r="G395" s="83">
        <f t="shared" si="7"/>
        <v>62.76</v>
      </c>
    </row>
    <row r="396" spans="1:7" ht="15">
      <c r="A396" s="182">
        <v>29007000</v>
      </c>
      <c r="B396" s="87" t="s">
        <v>490</v>
      </c>
      <c r="C396" s="87" t="s">
        <v>491</v>
      </c>
      <c r="D396" s="88" t="s">
        <v>479</v>
      </c>
      <c r="E396" s="83">
        <v>1</v>
      </c>
      <c r="F396" s="83">
        <v>62.76</v>
      </c>
      <c r="G396" s="83">
        <f t="shared" si="7"/>
        <v>62.76</v>
      </c>
    </row>
    <row r="397" spans="1:7" ht="15">
      <c r="A397" s="182">
        <v>29008000</v>
      </c>
      <c r="B397" s="87" t="s">
        <v>492</v>
      </c>
      <c r="C397" s="87" t="s">
        <v>493</v>
      </c>
      <c r="D397" s="88" t="s">
        <v>479</v>
      </c>
      <c r="E397" s="83">
        <v>1</v>
      </c>
      <c r="F397" s="83">
        <v>62.76</v>
      </c>
      <c r="G397" s="83">
        <f t="shared" si="7"/>
        <v>62.76</v>
      </c>
    </row>
    <row r="398" spans="1:7" ht="15">
      <c r="A398" s="182">
        <v>29009000</v>
      </c>
      <c r="B398" s="87" t="s">
        <v>494</v>
      </c>
      <c r="C398" s="87" t="s">
        <v>495</v>
      </c>
      <c r="D398" s="88" t="s">
        <v>479</v>
      </c>
      <c r="E398" s="83">
        <v>1</v>
      </c>
      <c r="F398" s="83">
        <v>62.76</v>
      </c>
      <c r="G398" s="83">
        <f t="shared" si="7"/>
        <v>62.76</v>
      </c>
    </row>
    <row r="399" spans="1:7" ht="15">
      <c r="A399" s="182">
        <v>29010000</v>
      </c>
      <c r="B399" s="87" t="s">
        <v>496</v>
      </c>
      <c r="C399" s="87" t="s">
        <v>497</v>
      </c>
      <c r="D399" s="88" t="s">
        <v>479</v>
      </c>
      <c r="E399" s="83">
        <v>1</v>
      </c>
      <c r="F399" s="83">
        <v>62.76</v>
      </c>
      <c r="G399" s="83">
        <f t="shared" si="7"/>
        <v>62.76</v>
      </c>
    </row>
    <row r="400" spans="1:7" ht="15">
      <c r="A400" s="182">
        <v>29011000</v>
      </c>
      <c r="B400" s="87" t="s">
        <v>498</v>
      </c>
      <c r="C400" s="87" t="s">
        <v>499</v>
      </c>
      <c r="D400" s="88" t="s">
        <v>479</v>
      </c>
      <c r="E400" s="83">
        <v>1</v>
      </c>
      <c r="F400" s="83">
        <v>62.76</v>
      </c>
      <c r="G400" s="83">
        <f t="shared" si="7"/>
        <v>62.76</v>
      </c>
    </row>
    <row r="401" spans="1:7" ht="15">
      <c r="A401" s="182">
        <v>29012000</v>
      </c>
      <c r="B401" s="87" t="s">
        <v>500</v>
      </c>
      <c r="C401" s="87" t="s">
        <v>501</v>
      </c>
      <c r="D401" s="88" t="s">
        <v>479</v>
      </c>
      <c r="E401" s="83">
        <v>1</v>
      </c>
      <c r="F401" s="83">
        <v>62.76</v>
      </c>
      <c r="G401" s="83">
        <f t="shared" si="7"/>
        <v>62.76</v>
      </c>
    </row>
    <row r="402" spans="1:7" ht="15">
      <c r="A402" s="182">
        <v>29013000</v>
      </c>
      <c r="B402" s="87" t="s">
        <v>502</v>
      </c>
      <c r="C402" s="87" t="s">
        <v>503</v>
      </c>
      <c r="D402" s="88" t="s">
        <v>479</v>
      </c>
      <c r="E402" s="83">
        <v>1</v>
      </c>
      <c r="F402" s="83">
        <v>62.76</v>
      </c>
      <c r="G402" s="83">
        <f t="shared" si="7"/>
        <v>62.76</v>
      </c>
    </row>
    <row r="403" spans="1:7" ht="15">
      <c r="A403" s="182">
        <v>29014000</v>
      </c>
      <c r="B403" s="87" t="s">
        <v>504</v>
      </c>
      <c r="C403" s="87" t="s">
        <v>505</v>
      </c>
      <c r="D403" s="88" t="s">
        <v>479</v>
      </c>
      <c r="E403" s="83">
        <v>1</v>
      </c>
      <c r="F403" s="83">
        <v>62.76</v>
      </c>
      <c r="G403" s="83">
        <f t="shared" si="7"/>
        <v>62.76</v>
      </c>
    </row>
    <row r="404" spans="1:7" ht="15">
      <c r="A404" s="182">
        <v>29015000</v>
      </c>
      <c r="B404" s="87" t="s">
        <v>506</v>
      </c>
      <c r="C404" s="87" t="s">
        <v>507</v>
      </c>
      <c r="D404" s="88" t="s">
        <v>479</v>
      </c>
      <c r="E404" s="83">
        <v>1</v>
      </c>
      <c r="F404" s="83">
        <v>62.76</v>
      </c>
      <c r="G404" s="83">
        <f t="shared" si="7"/>
        <v>62.76</v>
      </c>
    </row>
    <row r="405" spans="1:7" ht="15">
      <c r="A405" s="182">
        <v>29016000</v>
      </c>
      <c r="B405" s="87" t="s">
        <v>508</v>
      </c>
      <c r="C405" s="87" t="s">
        <v>509</v>
      </c>
      <c r="D405" s="88" t="s">
        <v>479</v>
      </c>
      <c r="E405" s="83">
        <v>1</v>
      </c>
      <c r="F405" s="83">
        <v>62.76</v>
      </c>
      <c r="G405" s="83">
        <f t="shared" si="7"/>
        <v>62.76</v>
      </c>
    </row>
    <row r="406" spans="1:7" ht="15">
      <c r="A406" s="182">
        <v>29017000</v>
      </c>
      <c r="B406" s="87" t="s">
        <v>510</v>
      </c>
      <c r="C406" s="87" t="s">
        <v>511</v>
      </c>
      <c r="D406" s="88" t="s">
        <v>479</v>
      </c>
      <c r="E406" s="83">
        <v>1</v>
      </c>
      <c r="F406" s="83">
        <v>62.76</v>
      </c>
      <c r="G406" s="83">
        <f t="shared" si="7"/>
        <v>62.76</v>
      </c>
    </row>
    <row r="407" spans="1:7" ht="15">
      <c r="A407" s="182">
        <v>29018000</v>
      </c>
      <c r="B407" s="87" t="s">
        <v>512</v>
      </c>
      <c r="C407" s="87" t="s">
        <v>513</v>
      </c>
      <c r="D407" s="88" t="s">
        <v>479</v>
      </c>
      <c r="E407" s="83">
        <v>1</v>
      </c>
      <c r="F407" s="83">
        <v>62.76</v>
      </c>
      <c r="G407" s="83">
        <f t="shared" si="7"/>
        <v>62.76</v>
      </c>
    </row>
    <row r="408" spans="1:7" ht="15">
      <c r="A408" s="182">
        <v>29019000</v>
      </c>
      <c r="B408" s="87" t="s">
        <v>514</v>
      </c>
      <c r="C408" s="87" t="s">
        <v>505</v>
      </c>
      <c r="D408" s="88" t="s">
        <v>479</v>
      </c>
      <c r="E408" s="83">
        <v>1</v>
      </c>
      <c r="F408" s="83">
        <v>62.76</v>
      </c>
      <c r="G408" s="83">
        <f t="shared" si="7"/>
        <v>62.76</v>
      </c>
    </row>
    <row r="409" spans="1:7" ht="15">
      <c r="A409" s="182">
        <v>29020000</v>
      </c>
      <c r="B409" s="87" t="s">
        <v>515</v>
      </c>
      <c r="C409" s="87" t="s">
        <v>516</v>
      </c>
      <c r="D409" s="88" t="s">
        <v>479</v>
      </c>
      <c r="E409" s="83">
        <v>1</v>
      </c>
      <c r="F409" s="83">
        <v>122.76</v>
      </c>
      <c r="G409" s="83">
        <f t="shared" si="7"/>
        <v>122.76</v>
      </c>
    </row>
    <row r="410" spans="1:7" ht="15">
      <c r="A410" s="182">
        <v>29021000</v>
      </c>
      <c r="B410" s="87" t="s">
        <v>517</v>
      </c>
      <c r="C410" s="87" t="s">
        <v>518</v>
      </c>
      <c r="D410" s="88" t="s">
        <v>479</v>
      </c>
      <c r="E410" s="83">
        <v>1</v>
      </c>
      <c r="F410" s="83">
        <v>122.76</v>
      </c>
      <c r="G410" s="83">
        <f t="shared" si="7"/>
        <v>122.76</v>
      </c>
    </row>
    <row r="411" spans="1:7" ht="15">
      <c r="A411" s="182">
        <v>29022000</v>
      </c>
      <c r="B411" s="87" t="s">
        <v>519</v>
      </c>
      <c r="C411" s="87" t="s">
        <v>520</v>
      </c>
      <c r="D411" s="88" t="s">
        <v>479</v>
      </c>
      <c r="E411" s="83">
        <v>1</v>
      </c>
      <c r="F411" s="83">
        <v>122.76</v>
      </c>
      <c r="G411" s="83">
        <f t="shared" si="7"/>
        <v>122.76</v>
      </c>
    </row>
    <row r="412" spans="1:7" ht="15">
      <c r="A412" s="182">
        <v>29023000</v>
      </c>
      <c r="B412" s="87" t="s">
        <v>521</v>
      </c>
      <c r="C412" s="87" t="s">
        <v>103</v>
      </c>
      <c r="D412" s="88" t="s">
        <v>479</v>
      </c>
      <c r="E412" s="83">
        <v>1</v>
      </c>
      <c r="F412" s="83">
        <v>122.76</v>
      </c>
      <c r="G412" s="83">
        <f t="shared" si="7"/>
        <v>122.76</v>
      </c>
    </row>
    <row r="413" spans="1:7" ht="15">
      <c r="A413" s="182">
        <v>29024000</v>
      </c>
      <c r="B413" s="87" t="s">
        <v>104</v>
      </c>
      <c r="C413" s="87" t="s">
        <v>105</v>
      </c>
      <c r="D413" s="88" t="s">
        <v>479</v>
      </c>
      <c r="E413" s="83">
        <v>1</v>
      </c>
      <c r="F413" s="83">
        <v>122.76</v>
      </c>
      <c r="G413" s="83">
        <f t="shared" si="7"/>
        <v>122.76</v>
      </c>
    </row>
    <row r="414" spans="1:7" ht="15">
      <c r="A414" s="182">
        <v>29025000</v>
      </c>
      <c r="B414" s="87" t="s">
        <v>106</v>
      </c>
      <c r="C414" s="87" t="s">
        <v>107</v>
      </c>
      <c r="D414" s="88" t="s">
        <v>479</v>
      </c>
      <c r="E414" s="83">
        <v>1</v>
      </c>
      <c r="F414" s="83">
        <v>122.76</v>
      </c>
      <c r="G414" s="83">
        <f t="shared" si="7"/>
        <v>122.76</v>
      </c>
    </row>
    <row r="415" spans="1:7" ht="15">
      <c r="A415" s="182">
        <v>29026000</v>
      </c>
      <c r="B415" s="87" t="s">
        <v>108</v>
      </c>
      <c r="C415" s="87" t="s">
        <v>109</v>
      </c>
      <c r="D415" s="88" t="s">
        <v>479</v>
      </c>
      <c r="E415" s="83">
        <v>1</v>
      </c>
      <c r="F415" s="83">
        <v>122.76</v>
      </c>
      <c r="G415" s="83">
        <f t="shared" si="7"/>
        <v>122.76</v>
      </c>
    </row>
    <row r="416" spans="1:7" ht="15">
      <c r="A416" s="182">
        <v>29027000</v>
      </c>
      <c r="B416" s="87" t="s">
        <v>110</v>
      </c>
      <c r="C416" s="87" t="s">
        <v>111</v>
      </c>
      <c r="D416" s="88" t="s">
        <v>479</v>
      </c>
      <c r="E416" s="83">
        <v>1</v>
      </c>
      <c r="F416" s="83">
        <v>122.76</v>
      </c>
      <c r="G416" s="83">
        <f t="shared" si="7"/>
        <v>122.76</v>
      </c>
    </row>
    <row r="417" spans="1:7" ht="15">
      <c r="A417" s="182">
        <v>29028000</v>
      </c>
      <c r="B417" s="87" t="s">
        <v>112</v>
      </c>
      <c r="C417" s="87" t="s">
        <v>113</v>
      </c>
      <c r="D417" s="88" t="s">
        <v>479</v>
      </c>
      <c r="E417" s="83">
        <v>1</v>
      </c>
      <c r="F417" s="83">
        <v>62.76</v>
      </c>
      <c r="G417" s="83">
        <f t="shared" si="7"/>
        <v>62.76</v>
      </c>
    </row>
    <row r="418" spans="1:7" ht="25.5">
      <c r="A418" s="182">
        <v>29031000</v>
      </c>
      <c r="B418" s="87" t="s">
        <v>114</v>
      </c>
      <c r="C418" s="87" t="s">
        <v>116</v>
      </c>
      <c r="D418" s="88" t="s">
        <v>479</v>
      </c>
      <c r="E418" s="83">
        <v>4</v>
      </c>
      <c r="F418" s="83">
        <v>52.76</v>
      </c>
      <c r="G418" s="83">
        <f t="shared" si="7"/>
        <v>211.04</v>
      </c>
    </row>
    <row r="419" spans="1:7" ht="14.25" customHeight="1">
      <c r="A419" s="181">
        <v>30000000</v>
      </c>
      <c r="B419" s="160"/>
      <c r="C419" s="256" t="s">
        <v>117</v>
      </c>
      <c r="D419" s="256"/>
      <c r="E419" s="256"/>
      <c r="F419" s="256"/>
      <c r="G419" s="161">
        <f>SUM(G420:G442)</f>
        <v>80174.44930000001</v>
      </c>
    </row>
    <row r="420" spans="1:7" ht="51">
      <c r="A420" s="182">
        <v>30001000</v>
      </c>
      <c r="B420" s="87" t="s">
        <v>118</v>
      </c>
      <c r="C420" s="87" t="s">
        <v>119</v>
      </c>
      <c r="D420" s="88" t="s">
        <v>120</v>
      </c>
      <c r="E420" s="83">
        <v>1</v>
      </c>
      <c r="F420" s="83">
        <v>5380.59</v>
      </c>
      <c r="G420" s="83">
        <f>F420*E420</f>
        <v>5380.59</v>
      </c>
    </row>
    <row r="421" spans="1:7" ht="63.75">
      <c r="A421" s="182">
        <v>30002000</v>
      </c>
      <c r="B421" s="87">
        <v>75837</v>
      </c>
      <c r="C421" s="87" t="s">
        <v>121</v>
      </c>
      <c r="D421" s="88" t="s">
        <v>120</v>
      </c>
      <c r="E421" s="83">
        <v>1</v>
      </c>
      <c r="F421" s="83">
        <v>624.22</v>
      </c>
      <c r="G421" s="83">
        <f aca="true" t="shared" si="8" ref="G421:G442">F421*E421</f>
        <v>624.22</v>
      </c>
    </row>
    <row r="422" spans="1:7" ht="38.25">
      <c r="A422" s="182">
        <v>30003000</v>
      </c>
      <c r="B422" s="87" t="s">
        <v>122</v>
      </c>
      <c r="C422" s="87" t="s">
        <v>123</v>
      </c>
      <c r="D422" s="88" t="s">
        <v>120</v>
      </c>
      <c r="E422" s="83">
        <v>1</v>
      </c>
      <c r="F422" s="83">
        <v>309.39</v>
      </c>
      <c r="G422" s="83">
        <f t="shared" si="8"/>
        <v>309.39</v>
      </c>
    </row>
    <row r="423" spans="1:7" ht="25.5">
      <c r="A423" s="182">
        <v>30004000</v>
      </c>
      <c r="B423" s="87" t="s">
        <v>124</v>
      </c>
      <c r="C423" s="87" t="s">
        <v>125</v>
      </c>
      <c r="D423" s="88" t="s">
        <v>532</v>
      </c>
      <c r="E423" s="83">
        <v>9</v>
      </c>
      <c r="F423" s="83">
        <v>40.16</v>
      </c>
      <c r="G423" s="83">
        <f t="shared" si="8"/>
        <v>361.43999999999994</v>
      </c>
    </row>
    <row r="424" spans="1:7" ht="15">
      <c r="A424" s="182">
        <v>30005000</v>
      </c>
      <c r="B424" s="87" t="s">
        <v>126</v>
      </c>
      <c r="C424" s="87" t="s">
        <v>127</v>
      </c>
      <c r="D424" s="88" t="s">
        <v>535</v>
      </c>
      <c r="E424" s="83">
        <v>4605.01</v>
      </c>
      <c r="F424" s="83">
        <v>6.98</v>
      </c>
      <c r="G424" s="83">
        <f t="shared" si="8"/>
        <v>32142.969800000003</v>
      </c>
    </row>
    <row r="425" spans="1:7" ht="51">
      <c r="A425" s="182">
        <v>30006000</v>
      </c>
      <c r="B425" s="87" t="s">
        <v>128</v>
      </c>
      <c r="C425" s="87" t="s">
        <v>129</v>
      </c>
      <c r="D425" s="88" t="s">
        <v>535</v>
      </c>
      <c r="E425" s="83">
        <v>195</v>
      </c>
      <c r="F425" s="83">
        <v>85.92</v>
      </c>
      <c r="G425" s="83">
        <f t="shared" si="8"/>
        <v>16754.4</v>
      </c>
    </row>
    <row r="426" spans="1:7" ht="15">
      <c r="A426" s="182">
        <v>30007000</v>
      </c>
      <c r="B426" s="87">
        <v>75969</v>
      </c>
      <c r="C426" s="87" t="s">
        <v>130</v>
      </c>
      <c r="D426" s="88" t="s">
        <v>120</v>
      </c>
      <c r="E426" s="83">
        <v>1</v>
      </c>
      <c r="F426" s="83">
        <v>939.88</v>
      </c>
      <c r="G426" s="83">
        <f t="shared" si="8"/>
        <v>939.88</v>
      </c>
    </row>
    <row r="427" spans="1:7" ht="15">
      <c r="A427" s="182">
        <v>30008000</v>
      </c>
      <c r="B427" s="87" t="s">
        <v>330</v>
      </c>
      <c r="C427" s="87" t="s">
        <v>131</v>
      </c>
      <c r="D427" s="88" t="s">
        <v>699</v>
      </c>
      <c r="E427" s="83">
        <v>31.5</v>
      </c>
      <c r="F427" s="83">
        <v>97.84</v>
      </c>
      <c r="G427" s="83">
        <f t="shared" si="8"/>
        <v>3081.96</v>
      </c>
    </row>
    <row r="428" spans="1:7" ht="63.75">
      <c r="A428" s="182">
        <v>30009000</v>
      </c>
      <c r="B428" s="87">
        <v>75970</v>
      </c>
      <c r="C428" s="87" t="s">
        <v>132</v>
      </c>
      <c r="D428" s="88" t="s">
        <v>120</v>
      </c>
      <c r="E428" s="83">
        <v>1</v>
      </c>
      <c r="F428" s="83">
        <v>601.02</v>
      </c>
      <c r="G428" s="83">
        <f t="shared" si="8"/>
        <v>601.02</v>
      </c>
    </row>
    <row r="429" spans="1:7" ht="63.75">
      <c r="A429" s="182">
        <v>30010000</v>
      </c>
      <c r="B429" s="87">
        <v>75971</v>
      </c>
      <c r="C429" s="87" t="s">
        <v>133</v>
      </c>
      <c r="D429" s="88" t="s">
        <v>120</v>
      </c>
      <c r="E429" s="83">
        <v>2</v>
      </c>
      <c r="F429" s="83">
        <v>525.87</v>
      </c>
      <c r="G429" s="83">
        <f t="shared" si="8"/>
        <v>1051.74</v>
      </c>
    </row>
    <row r="430" spans="1:7" ht="25.5">
      <c r="A430" s="182">
        <v>30011000</v>
      </c>
      <c r="B430" s="87" t="s">
        <v>677</v>
      </c>
      <c r="C430" s="87" t="s">
        <v>134</v>
      </c>
      <c r="D430" s="88" t="s">
        <v>535</v>
      </c>
      <c r="E430" s="83">
        <v>1.59</v>
      </c>
      <c r="F430" s="83">
        <v>158.03</v>
      </c>
      <c r="G430" s="83">
        <f t="shared" si="8"/>
        <v>251.26770000000002</v>
      </c>
    </row>
    <row r="431" spans="1:7" ht="25.5">
      <c r="A431" s="182">
        <v>30012000</v>
      </c>
      <c r="B431" s="87" t="s">
        <v>678</v>
      </c>
      <c r="C431" s="87" t="s">
        <v>138</v>
      </c>
      <c r="D431" s="88" t="s">
        <v>535</v>
      </c>
      <c r="E431" s="83">
        <v>3.18</v>
      </c>
      <c r="F431" s="83">
        <v>158.03</v>
      </c>
      <c r="G431" s="83">
        <f t="shared" si="8"/>
        <v>502.53540000000004</v>
      </c>
    </row>
    <row r="432" spans="1:7" ht="25.5">
      <c r="A432" s="182">
        <v>30013000</v>
      </c>
      <c r="B432" s="87" t="s">
        <v>679</v>
      </c>
      <c r="C432" s="87" t="s">
        <v>139</v>
      </c>
      <c r="D432" s="88" t="s">
        <v>535</v>
      </c>
      <c r="E432" s="83">
        <v>2.48</v>
      </c>
      <c r="F432" s="83">
        <v>158.03</v>
      </c>
      <c r="G432" s="83">
        <f t="shared" si="8"/>
        <v>391.9144</v>
      </c>
    </row>
    <row r="433" spans="1:7" ht="25.5">
      <c r="A433" s="182">
        <v>30014000</v>
      </c>
      <c r="B433" s="87" t="s">
        <v>140</v>
      </c>
      <c r="C433" s="87" t="s">
        <v>141</v>
      </c>
      <c r="D433" s="88" t="s">
        <v>535</v>
      </c>
      <c r="E433" s="83">
        <f>0.8*0.5</f>
        <v>0.4</v>
      </c>
      <c r="F433" s="83">
        <v>158.03</v>
      </c>
      <c r="G433" s="83">
        <f t="shared" si="8"/>
        <v>63.212</v>
      </c>
    </row>
    <row r="434" spans="1:7" ht="38.25">
      <c r="A434" s="182">
        <v>30015000</v>
      </c>
      <c r="B434" s="87" t="s">
        <v>142</v>
      </c>
      <c r="C434" s="87" t="s">
        <v>143</v>
      </c>
      <c r="D434" s="88" t="s">
        <v>535</v>
      </c>
      <c r="E434" s="83">
        <v>80.6</v>
      </c>
      <c r="F434" s="83">
        <v>15.75</v>
      </c>
      <c r="G434" s="83">
        <f t="shared" si="8"/>
        <v>1269.4499999999998</v>
      </c>
    </row>
    <row r="435" spans="1:7" ht="38.25">
      <c r="A435" s="182">
        <v>30016000</v>
      </c>
      <c r="B435" s="87" t="s">
        <v>144</v>
      </c>
      <c r="C435" s="87" t="s">
        <v>145</v>
      </c>
      <c r="D435" s="88" t="s">
        <v>532</v>
      </c>
      <c r="E435" s="83">
        <v>1</v>
      </c>
      <c r="F435" s="83">
        <v>603.36</v>
      </c>
      <c r="G435" s="83">
        <f t="shared" si="8"/>
        <v>603.36</v>
      </c>
    </row>
    <row r="436" spans="1:7" ht="38.25">
      <c r="A436" s="182">
        <v>30017000</v>
      </c>
      <c r="B436" s="87" t="s">
        <v>146</v>
      </c>
      <c r="C436" s="87" t="s">
        <v>147</v>
      </c>
      <c r="D436" s="88" t="s">
        <v>532</v>
      </c>
      <c r="E436" s="83">
        <v>19</v>
      </c>
      <c r="F436" s="83">
        <v>202.82</v>
      </c>
      <c r="G436" s="83">
        <f t="shared" si="8"/>
        <v>3853.58</v>
      </c>
    </row>
    <row r="437" spans="1:7" ht="25.5">
      <c r="A437" s="182">
        <v>30018000</v>
      </c>
      <c r="B437" s="87" t="s">
        <v>148</v>
      </c>
      <c r="C437" s="87" t="s">
        <v>149</v>
      </c>
      <c r="D437" s="88" t="s">
        <v>532</v>
      </c>
      <c r="E437" s="83">
        <v>4</v>
      </c>
      <c r="F437" s="83">
        <v>176.41</v>
      </c>
      <c r="G437" s="83">
        <f t="shared" si="8"/>
        <v>705.64</v>
      </c>
    </row>
    <row r="438" spans="1:7" ht="38.25">
      <c r="A438" s="182">
        <v>30019000</v>
      </c>
      <c r="B438" s="87" t="s">
        <v>150</v>
      </c>
      <c r="C438" s="87" t="s">
        <v>151</v>
      </c>
      <c r="D438" s="88" t="s">
        <v>532</v>
      </c>
      <c r="E438" s="83">
        <v>11</v>
      </c>
      <c r="F438" s="83">
        <v>20.29</v>
      </c>
      <c r="G438" s="83">
        <f t="shared" si="8"/>
        <v>223.19</v>
      </c>
    </row>
    <row r="439" spans="1:7" ht="38.25">
      <c r="A439" s="182">
        <v>30020000</v>
      </c>
      <c r="B439" s="87" t="s">
        <v>152</v>
      </c>
      <c r="C439" s="87" t="s">
        <v>153</v>
      </c>
      <c r="D439" s="88" t="s">
        <v>532</v>
      </c>
      <c r="E439" s="83">
        <v>34</v>
      </c>
      <c r="F439" s="83">
        <v>20.71</v>
      </c>
      <c r="G439" s="83">
        <f t="shared" si="8"/>
        <v>704.14</v>
      </c>
    </row>
    <row r="440" spans="1:7" ht="25.5">
      <c r="A440" s="182">
        <v>30021000</v>
      </c>
      <c r="B440" s="87" t="s">
        <v>154</v>
      </c>
      <c r="C440" s="87" t="s">
        <v>155</v>
      </c>
      <c r="D440" s="88" t="s">
        <v>574</v>
      </c>
      <c r="E440" s="83">
        <v>58.2</v>
      </c>
      <c r="F440" s="83">
        <v>42.69</v>
      </c>
      <c r="G440" s="83">
        <f t="shared" si="8"/>
        <v>2484.558</v>
      </c>
    </row>
    <row r="441" spans="1:7" ht="15">
      <c r="A441" s="182" t="s">
        <v>623</v>
      </c>
      <c r="B441" s="87" t="s">
        <v>624</v>
      </c>
      <c r="C441" s="87" t="s">
        <v>461</v>
      </c>
      <c r="D441" s="88" t="s">
        <v>625</v>
      </c>
      <c r="E441" s="83">
        <v>142.8</v>
      </c>
      <c r="F441" s="83">
        <v>8.22</v>
      </c>
      <c r="G441" s="83">
        <f t="shared" si="8"/>
        <v>1173.8160000000003</v>
      </c>
    </row>
    <row r="442" spans="1:7" ht="38.25">
      <c r="A442" s="182" t="s">
        <v>623</v>
      </c>
      <c r="B442" s="87" t="s">
        <v>624</v>
      </c>
      <c r="C442" s="87" t="s">
        <v>115</v>
      </c>
      <c r="D442" s="88" t="s">
        <v>625</v>
      </c>
      <c r="E442" s="83">
        <v>142.8</v>
      </c>
      <c r="F442" s="83">
        <v>46.92</v>
      </c>
      <c r="G442" s="83">
        <f t="shared" si="8"/>
        <v>6700.176</v>
      </c>
    </row>
    <row r="443" spans="1:7" ht="14.25" customHeight="1">
      <c r="A443" s="181">
        <v>31000000</v>
      </c>
      <c r="B443" s="160"/>
      <c r="C443" s="256" t="s">
        <v>156</v>
      </c>
      <c r="D443" s="256"/>
      <c r="E443" s="256"/>
      <c r="F443" s="256"/>
      <c r="G443" s="161">
        <f>SUM(G444:G454)</f>
        <v>61565.55030000001</v>
      </c>
    </row>
    <row r="444" spans="1:7" ht="25.5">
      <c r="A444" s="182">
        <v>31001000</v>
      </c>
      <c r="B444" s="87">
        <v>41595</v>
      </c>
      <c r="C444" s="87" t="s">
        <v>157</v>
      </c>
      <c r="D444" s="88" t="s">
        <v>574</v>
      </c>
      <c r="E444" s="83">
        <v>88.5</v>
      </c>
      <c r="F444" s="83">
        <v>4.38</v>
      </c>
      <c r="G444" s="83">
        <f>F444*E444</f>
        <v>387.63</v>
      </c>
    </row>
    <row r="445" spans="1:7" ht="25.5">
      <c r="A445" s="182">
        <v>31002000</v>
      </c>
      <c r="B445" s="87" t="s">
        <v>158</v>
      </c>
      <c r="C445" s="87" t="s">
        <v>159</v>
      </c>
      <c r="D445" s="88" t="s">
        <v>535</v>
      </c>
      <c r="E445" s="83">
        <v>450.59</v>
      </c>
      <c r="F445" s="83">
        <v>6.62</v>
      </c>
      <c r="G445" s="83">
        <f aca="true" t="shared" si="9" ref="G445:G466">F445*E445</f>
        <v>2982.9058</v>
      </c>
    </row>
    <row r="446" spans="1:7" ht="25.5">
      <c r="A446" s="182">
        <v>31003000</v>
      </c>
      <c r="B446" s="87" t="s">
        <v>160</v>
      </c>
      <c r="C446" s="87" t="s">
        <v>161</v>
      </c>
      <c r="D446" s="88" t="s">
        <v>535</v>
      </c>
      <c r="E446" s="83">
        <f>1021.57+35.12</f>
        <v>1056.69</v>
      </c>
      <c r="F446" s="83">
        <v>10.26</v>
      </c>
      <c r="G446" s="83">
        <f t="shared" si="9"/>
        <v>10841.6394</v>
      </c>
    </row>
    <row r="447" spans="1:7" ht="25.5">
      <c r="A447" s="182">
        <v>31004000</v>
      </c>
      <c r="B447" s="87" t="s">
        <v>162</v>
      </c>
      <c r="C447" s="87" t="s">
        <v>163</v>
      </c>
      <c r="D447" s="88" t="s">
        <v>535</v>
      </c>
      <c r="E447" s="83">
        <v>568.31</v>
      </c>
      <c r="F447" s="83">
        <v>7.49</v>
      </c>
      <c r="G447" s="83">
        <f t="shared" si="9"/>
        <v>4256.6419</v>
      </c>
    </row>
    <row r="448" spans="1:7" ht="25.5">
      <c r="A448" s="182">
        <v>31005000</v>
      </c>
      <c r="B448" s="87" t="s">
        <v>164</v>
      </c>
      <c r="C448" s="87" t="s">
        <v>165</v>
      </c>
      <c r="D448" s="88" t="s">
        <v>535</v>
      </c>
      <c r="E448" s="83">
        <v>2131.91</v>
      </c>
      <c r="F448" s="83">
        <v>9.74</v>
      </c>
      <c r="G448" s="83">
        <f t="shared" si="9"/>
        <v>20764.8034</v>
      </c>
    </row>
    <row r="449" spans="1:7" ht="38.25">
      <c r="A449" s="182">
        <v>31006000</v>
      </c>
      <c r="B449" s="87" t="s">
        <v>166</v>
      </c>
      <c r="C449" s="87" t="s">
        <v>167</v>
      </c>
      <c r="D449" s="88" t="s">
        <v>535</v>
      </c>
      <c r="E449" s="83">
        <v>390</v>
      </c>
      <c r="F449" s="83">
        <v>10.86</v>
      </c>
      <c r="G449" s="83">
        <f t="shared" si="9"/>
        <v>4235.4</v>
      </c>
    </row>
    <row r="450" spans="1:7" ht="25.5">
      <c r="A450" s="182">
        <v>31007000</v>
      </c>
      <c r="B450" s="87" t="s">
        <v>168</v>
      </c>
      <c r="C450" s="87" t="s">
        <v>169</v>
      </c>
      <c r="D450" s="88" t="s">
        <v>535</v>
      </c>
      <c r="E450" s="83">
        <v>410.67</v>
      </c>
      <c r="F450" s="83">
        <v>6.5</v>
      </c>
      <c r="G450" s="83">
        <f t="shared" si="9"/>
        <v>2669.355</v>
      </c>
    </row>
    <row r="451" spans="1:7" ht="25.5">
      <c r="A451" s="182">
        <v>31008000</v>
      </c>
      <c r="B451" s="87" t="s">
        <v>170</v>
      </c>
      <c r="C451" s="87" t="s">
        <v>171</v>
      </c>
      <c r="D451" s="88" t="s">
        <v>535</v>
      </c>
      <c r="E451" s="83">
        <v>74.2</v>
      </c>
      <c r="F451" s="83">
        <v>14.04</v>
      </c>
      <c r="G451" s="83">
        <f t="shared" si="9"/>
        <v>1041.768</v>
      </c>
    </row>
    <row r="452" spans="1:7" ht="25.5">
      <c r="A452" s="182">
        <v>31009000</v>
      </c>
      <c r="B452" s="87" t="s">
        <v>673</v>
      </c>
      <c r="C452" s="87" t="s">
        <v>172</v>
      </c>
      <c r="D452" s="88" t="s">
        <v>535</v>
      </c>
      <c r="E452" s="83">
        <v>919.14</v>
      </c>
      <c r="F452" s="83">
        <v>11.81</v>
      </c>
      <c r="G452" s="83">
        <f t="shared" si="9"/>
        <v>10855.0434</v>
      </c>
    </row>
    <row r="453" spans="1:7" ht="25.5">
      <c r="A453" s="182">
        <v>31010000</v>
      </c>
      <c r="B453" s="87" t="s">
        <v>674</v>
      </c>
      <c r="C453" s="87" t="s">
        <v>173</v>
      </c>
      <c r="D453" s="88" t="s">
        <v>535</v>
      </c>
      <c r="E453" s="83">
        <v>117.73</v>
      </c>
      <c r="F453" s="83">
        <v>10.26</v>
      </c>
      <c r="G453" s="83">
        <f t="shared" si="9"/>
        <v>1207.9098</v>
      </c>
    </row>
    <row r="454" spans="1:7" ht="25.5">
      <c r="A454" s="182">
        <v>31011000</v>
      </c>
      <c r="B454" s="87" t="s">
        <v>674</v>
      </c>
      <c r="C454" s="87" t="s">
        <v>174</v>
      </c>
      <c r="D454" s="88" t="s">
        <v>535</v>
      </c>
      <c r="E454" s="83">
        <f>191.2+35.16</f>
        <v>226.35999999999999</v>
      </c>
      <c r="F454" s="83">
        <v>10.26</v>
      </c>
      <c r="G454" s="83">
        <f t="shared" si="9"/>
        <v>2322.4536</v>
      </c>
    </row>
    <row r="455" spans="1:7" ht="14.25" customHeight="1">
      <c r="A455" s="181">
        <v>32000000</v>
      </c>
      <c r="B455" s="160"/>
      <c r="C455" s="256" t="s">
        <v>175</v>
      </c>
      <c r="D455" s="256"/>
      <c r="E455" s="256"/>
      <c r="F455" s="256"/>
      <c r="G455" s="161">
        <f>SUM(G456)</f>
        <v>2940</v>
      </c>
    </row>
    <row r="456" spans="1:7" ht="15">
      <c r="A456" s="182">
        <v>32001000</v>
      </c>
      <c r="B456" s="87">
        <v>9537</v>
      </c>
      <c r="C456" s="87" t="s">
        <v>176</v>
      </c>
      <c r="D456" s="88" t="s">
        <v>535</v>
      </c>
      <c r="E456" s="83">
        <v>3000</v>
      </c>
      <c r="F456" s="83">
        <v>0.98</v>
      </c>
      <c r="G456" s="83">
        <f t="shared" si="9"/>
        <v>2940</v>
      </c>
    </row>
    <row r="457" spans="1:7" ht="14.25" customHeight="1">
      <c r="A457" s="181">
        <v>33000000</v>
      </c>
      <c r="B457" s="160"/>
      <c r="C457" s="256" t="s">
        <v>177</v>
      </c>
      <c r="D457" s="256"/>
      <c r="E457" s="256"/>
      <c r="F457" s="256"/>
      <c r="G457" s="161">
        <f>SUM(G458:G466)</f>
        <v>204041.82460000002</v>
      </c>
    </row>
    <row r="458" spans="1:7" ht="15">
      <c r="A458" s="182">
        <v>33001000</v>
      </c>
      <c r="B458" s="87" t="s">
        <v>178</v>
      </c>
      <c r="C458" s="87" t="s">
        <v>179</v>
      </c>
      <c r="D458" s="88" t="s">
        <v>180</v>
      </c>
      <c r="E458" s="83">
        <v>1320</v>
      </c>
      <c r="F458" s="83">
        <v>63.02</v>
      </c>
      <c r="G458" s="83">
        <f t="shared" si="9"/>
        <v>83186.40000000001</v>
      </c>
    </row>
    <row r="459" spans="1:7" ht="15">
      <c r="A459" s="182">
        <v>33002000</v>
      </c>
      <c r="B459" s="87" t="s">
        <v>181</v>
      </c>
      <c r="C459" s="87" t="s">
        <v>182</v>
      </c>
      <c r="D459" s="88" t="s">
        <v>180</v>
      </c>
      <c r="E459" s="83">
        <v>220</v>
      </c>
      <c r="F459" s="83">
        <v>63.02</v>
      </c>
      <c r="G459" s="83">
        <f t="shared" si="9"/>
        <v>13864.400000000001</v>
      </c>
    </row>
    <row r="460" spans="1:7" ht="15">
      <c r="A460" s="182">
        <v>33003000</v>
      </c>
      <c r="B460" s="87">
        <v>4069</v>
      </c>
      <c r="C460" s="87" t="s">
        <v>183</v>
      </c>
      <c r="D460" s="88" t="s">
        <v>180</v>
      </c>
      <c r="E460" s="83">
        <v>1320</v>
      </c>
      <c r="F460" s="83">
        <v>33.43</v>
      </c>
      <c r="G460" s="83">
        <f t="shared" si="9"/>
        <v>44127.6</v>
      </c>
    </row>
    <row r="461" spans="1:7" ht="15">
      <c r="A461" s="182">
        <v>33004000</v>
      </c>
      <c r="B461" s="87" t="s">
        <v>184</v>
      </c>
      <c r="C461" s="87" t="s">
        <v>185</v>
      </c>
      <c r="D461" s="88" t="s">
        <v>180</v>
      </c>
      <c r="E461" s="83">
        <v>2640</v>
      </c>
      <c r="F461" s="83">
        <v>5.99</v>
      </c>
      <c r="G461" s="83">
        <f t="shared" si="9"/>
        <v>15813.6</v>
      </c>
    </row>
    <row r="462" spans="1:7" ht="15">
      <c r="A462" s="182">
        <v>33005000</v>
      </c>
      <c r="B462" s="87" t="s">
        <v>186</v>
      </c>
      <c r="C462" s="87" t="s">
        <v>187</v>
      </c>
      <c r="D462" s="88" t="s">
        <v>535</v>
      </c>
      <c r="E462" s="83">
        <v>1018.83</v>
      </c>
      <c r="F462" s="83">
        <v>5.62</v>
      </c>
      <c r="G462" s="83">
        <f t="shared" si="9"/>
        <v>5725.8246</v>
      </c>
    </row>
    <row r="463" spans="1:7" ht="15">
      <c r="A463" s="182">
        <v>33006000</v>
      </c>
      <c r="B463" s="87" t="s">
        <v>188</v>
      </c>
      <c r="C463" s="87" t="s">
        <v>189</v>
      </c>
      <c r="D463" s="88" t="s">
        <v>532</v>
      </c>
      <c r="E463" s="83">
        <v>3000</v>
      </c>
      <c r="F463" s="83">
        <v>6</v>
      </c>
      <c r="G463" s="83">
        <f t="shared" si="9"/>
        <v>18000</v>
      </c>
    </row>
    <row r="464" spans="1:7" ht="15">
      <c r="A464" s="182">
        <v>33007000</v>
      </c>
      <c r="B464" s="87" t="s">
        <v>190</v>
      </c>
      <c r="C464" s="87" t="s">
        <v>191</v>
      </c>
      <c r="D464" s="88" t="s">
        <v>532</v>
      </c>
      <c r="E464" s="83">
        <v>3000</v>
      </c>
      <c r="F464" s="83">
        <v>4</v>
      </c>
      <c r="G464" s="83">
        <f t="shared" si="9"/>
        <v>12000</v>
      </c>
    </row>
    <row r="465" spans="1:7" ht="15">
      <c r="A465" s="182">
        <v>33008000</v>
      </c>
      <c r="B465" s="87" t="s">
        <v>192</v>
      </c>
      <c r="C465" s="87" t="s">
        <v>193</v>
      </c>
      <c r="D465" s="88" t="s">
        <v>532</v>
      </c>
      <c r="E465" s="83">
        <v>1</v>
      </c>
      <c r="F465" s="83">
        <v>4500</v>
      </c>
      <c r="G465" s="83">
        <f t="shared" si="9"/>
        <v>4500</v>
      </c>
    </row>
    <row r="466" spans="1:7" ht="25.5">
      <c r="A466" s="182">
        <v>33009000</v>
      </c>
      <c r="B466" s="164">
        <v>73585</v>
      </c>
      <c r="C466" s="87" t="s">
        <v>194</v>
      </c>
      <c r="D466" s="88" t="s">
        <v>195</v>
      </c>
      <c r="E466" s="83">
        <v>80</v>
      </c>
      <c r="F466" s="83">
        <v>85.3</v>
      </c>
      <c r="G466" s="83">
        <f t="shared" si="9"/>
        <v>6824</v>
      </c>
    </row>
    <row r="467" spans="1:9" ht="15">
      <c r="A467" s="257" t="s">
        <v>196</v>
      </c>
      <c r="B467" s="257"/>
      <c r="C467" s="257"/>
      <c r="D467" s="257"/>
      <c r="E467" s="257"/>
      <c r="F467" s="257"/>
      <c r="G467" s="194">
        <f>SUM(G14:G466)/2</f>
        <v>1432843.3259999966</v>
      </c>
      <c r="H467" s="195"/>
      <c r="I467" s="196"/>
    </row>
    <row r="468" spans="1:7" ht="15">
      <c r="A468" s="257" t="s">
        <v>197</v>
      </c>
      <c r="B468" s="257"/>
      <c r="C468" s="257"/>
      <c r="D468" s="257"/>
      <c r="E468" s="257"/>
      <c r="F468" s="257"/>
      <c r="G468" s="194">
        <f>0.2347*G467</f>
        <v>336288.32861219917</v>
      </c>
    </row>
    <row r="469" spans="1:7" ht="15">
      <c r="A469" s="257" t="s">
        <v>198</v>
      </c>
      <c r="B469" s="257"/>
      <c r="C469" s="257"/>
      <c r="D469" s="257"/>
      <c r="E469" s="257"/>
      <c r="F469" s="257"/>
      <c r="G469" s="194">
        <f>G468+G467</f>
        <v>1769131.6546121957</v>
      </c>
    </row>
    <row r="470" ht="15">
      <c r="A470" s="158" t="s">
        <v>675</v>
      </c>
    </row>
    <row r="471" spans="1:7" ht="27.75" customHeight="1">
      <c r="A471" s="265" t="s">
        <v>626</v>
      </c>
      <c r="B471" s="265"/>
      <c r="C471" s="265"/>
      <c r="D471" s="265"/>
      <c r="E471" s="265"/>
      <c r="F471" s="265"/>
      <c r="G471" s="265"/>
    </row>
    <row r="472" ht="6" customHeight="1"/>
    <row r="473" ht="15">
      <c r="A473" s="199" t="s">
        <v>680</v>
      </c>
    </row>
    <row r="474" ht="15">
      <c r="A474" s="199" t="s">
        <v>276</v>
      </c>
    </row>
  </sheetData>
  <sheetProtection password="F891" sheet="1" objects="1" scenarios="1"/>
  <mergeCells count="46">
    <mergeCell ref="A10:G10"/>
    <mergeCell ref="D11:G11"/>
    <mergeCell ref="C14:F14"/>
    <mergeCell ref="C21:F21"/>
    <mergeCell ref="C25:F25"/>
    <mergeCell ref="C32:F32"/>
    <mergeCell ref="C46:F46"/>
    <mergeCell ref="C57:F57"/>
    <mergeCell ref="C65:F65"/>
    <mergeCell ref="C72:F72"/>
    <mergeCell ref="C76:F76"/>
    <mergeCell ref="C88:F88"/>
    <mergeCell ref="C91:F91"/>
    <mergeCell ref="C93:F93"/>
    <mergeCell ref="C102:F102"/>
    <mergeCell ref="C107:F107"/>
    <mergeCell ref="C109:F109"/>
    <mergeCell ref="C116:F116"/>
    <mergeCell ref="C126:F126"/>
    <mergeCell ref="C136:F136"/>
    <mergeCell ref="C151:F151"/>
    <mergeCell ref="C193:F193"/>
    <mergeCell ref="C219:F219"/>
    <mergeCell ref="C228:F228"/>
    <mergeCell ref="C233:F233"/>
    <mergeCell ref="C250:F250"/>
    <mergeCell ref="C457:F457"/>
    <mergeCell ref="A467:F467"/>
    <mergeCell ref="C255:F255"/>
    <mergeCell ref="C318:F318"/>
    <mergeCell ref="C327:F327"/>
    <mergeCell ref="C356:F356"/>
    <mergeCell ref="A1:G1"/>
    <mergeCell ref="A2:G2"/>
    <mergeCell ref="A5:G5"/>
    <mergeCell ref="A4:G4"/>
    <mergeCell ref="A471:G471"/>
    <mergeCell ref="F9:G9"/>
    <mergeCell ref="D7:G7"/>
    <mergeCell ref="A8:G8"/>
    <mergeCell ref="C389:F389"/>
    <mergeCell ref="C419:F419"/>
    <mergeCell ref="C443:F443"/>
    <mergeCell ref="A469:F469"/>
    <mergeCell ref="C455:F455"/>
    <mergeCell ref="A468:F468"/>
  </mergeCells>
  <printOptions/>
  <pageMargins left="0.5118110236220472" right="0.5118110236220472" top="0.7874015748031497" bottom="0.7874015748031497" header="0.5118110236220472" footer="0.5118110236220472"/>
  <pageSetup horizontalDpi="300" verticalDpi="300" orientation="landscape" scale="72" r:id="rId4"/>
  <headerFooter alignWithMargins="0">
    <oddFooter>&amp;CPágina &amp;P de &amp;N</oddFooter>
  </headerFooter>
  <rowBreaks count="1" manualBreakCount="1">
    <brk id="448" max="6" man="1"/>
  </rowBreaks>
  <legacyDrawing r:id="rId3"/>
  <oleObjects>
    <oleObject progId="Word.Picture.8" shapeId="868874" r:id="rId1"/>
    <oleObject progId="Word.Picture.8" shapeId="11686" r:id="rId2"/>
  </oleObjects>
</worksheet>
</file>

<file path=xl/worksheets/sheet2.xml><?xml version="1.0" encoding="utf-8"?>
<worksheet xmlns="http://schemas.openxmlformats.org/spreadsheetml/2006/main" xmlns:r="http://schemas.openxmlformats.org/officeDocument/2006/relationships">
  <dimension ref="A1:AB102"/>
  <sheetViews>
    <sheetView zoomScale="70" zoomScaleNormal="70" workbookViewId="0" topLeftCell="A43">
      <selection activeCell="C26" sqref="C26"/>
    </sheetView>
  </sheetViews>
  <sheetFormatPr defaultColWidth="9.140625" defaultRowHeight="12.75"/>
  <cols>
    <col min="1" max="1" width="19.8515625" style="12" customWidth="1"/>
    <col min="2" max="2" width="68.8515625" style="12" customWidth="1"/>
    <col min="3" max="3" width="16.00390625" style="12" customWidth="1"/>
    <col min="4" max="4" width="9.421875" style="12" customWidth="1"/>
    <col min="5" max="5" width="12.421875" style="12" customWidth="1"/>
    <col min="6" max="7" width="9.421875" style="12" customWidth="1"/>
    <col min="8" max="8" width="12.140625" style="12" customWidth="1"/>
    <col min="9" max="10" width="9.421875" style="12" customWidth="1"/>
    <col min="11" max="11" width="12.28125" style="12" customWidth="1"/>
    <col min="12" max="12" width="9.421875" style="12" customWidth="1"/>
    <col min="13" max="13" width="9.28125" style="12" customWidth="1"/>
    <col min="14" max="14" width="19.8515625" style="12" customWidth="1"/>
    <col min="15" max="15" width="68.8515625" style="12" customWidth="1"/>
    <col min="16" max="16" width="16.00390625" style="12" customWidth="1"/>
    <col min="17" max="17" width="9.421875" style="12" customWidth="1"/>
    <col min="18" max="18" width="12.8515625" style="12" customWidth="1"/>
    <col min="19" max="19" width="9.28125" style="12" bestFit="1" customWidth="1"/>
    <col min="20" max="20" width="9.7109375" style="12" bestFit="1" customWidth="1"/>
    <col min="21" max="21" width="12.421875" style="12" bestFit="1" customWidth="1"/>
    <col min="22" max="22" width="9.28125" style="12" bestFit="1" customWidth="1"/>
    <col min="23" max="23" width="9.7109375" style="12" bestFit="1" customWidth="1"/>
    <col min="24" max="24" width="12.8515625" style="12" bestFit="1" customWidth="1"/>
    <col min="25" max="25" width="9.28125" style="12" customWidth="1"/>
    <col min="26" max="26" width="9.7109375" style="12" bestFit="1" customWidth="1"/>
    <col min="27" max="27" width="9.140625" style="12" customWidth="1"/>
    <col min="28" max="28" width="12.8515625" style="12" customWidth="1"/>
    <col min="29" max="16384" width="9.140625" style="12" customWidth="1"/>
  </cols>
  <sheetData>
    <row r="1" spans="1:26" ht="23.25">
      <c r="A1" s="258" t="s">
        <v>31</v>
      </c>
      <c r="B1" s="258"/>
      <c r="C1" s="258"/>
      <c r="D1" s="258"/>
      <c r="E1" s="258"/>
      <c r="F1" s="258"/>
      <c r="G1" s="258"/>
      <c r="H1" s="258"/>
      <c r="I1" s="258"/>
      <c r="J1" s="258"/>
      <c r="K1" s="258"/>
      <c r="L1" s="258"/>
      <c r="M1" s="258"/>
      <c r="N1" s="258" t="s">
        <v>31</v>
      </c>
      <c r="O1" s="258"/>
      <c r="P1" s="258"/>
      <c r="Q1" s="258"/>
      <c r="R1" s="258"/>
      <c r="S1" s="258"/>
      <c r="T1" s="258"/>
      <c r="U1" s="258"/>
      <c r="V1" s="258"/>
      <c r="W1" s="258"/>
      <c r="X1" s="258"/>
      <c r="Y1" s="258"/>
      <c r="Z1" s="258"/>
    </row>
    <row r="2" spans="1:26" ht="23.25">
      <c r="A2" s="259" t="s">
        <v>32</v>
      </c>
      <c r="B2" s="259"/>
      <c r="C2" s="259"/>
      <c r="D2" s="259"/>
      <c r="E2" s="259"/>
      <c r="F2" s="259"/>
      <c r="G2" s="259"/>
      <c r="H2" s="259"/>
      <c r="I2" s="259"/>
      <c r="J2" s="259"/>
      <c r="K2" s="259"/>
      <c r="L2" s="259"/>
      <c r="M2" s="259"/>
      <c r="N2" s="259" t="s">
        <v>32</v>
      </c>
      <c r="O2" s="259"/>
      <c r="P2" s="259"/>
      <c r="Q2" s="259"/>
      <c r="R2" s="259"/>
      <c r="S2" s="259"/>
      <c r="T2" s="259"/>
      <c r="U2" s="259"/>
      <c r="V2" s="259"/>
      <c r="W2" s="259"/>
      <c r="X2" s="259"/>
      <c r="Y2" s="259"/>
      <c r="Z2" s="259"/>
    </row>
    <row r="3" spans="1:20" ht="23.25">
      <c r="A3" s="1"/>
      <c r="B3" s="1"/>
      <c r="C3" s="1"/>
      <c r="D3" s="1"/>
      <c r="E3" s="1"/>
      <c r="F3" s="1"/>
      <c r="G3" s="1"/>
      <c r="N3" s="1"/>
      <c r="O3" s="1"/>
      <c r="P3" s="1"/>
      <c r="Q3" s="1"/>
      <c r="R3" s="1"/>
      <c r="S3" s="1"/>
      <c r="T3" s="1"/>
    </row>
    <row r="4" spans="1:26" ht="23.25">
      <c r="A4" s="260" t="s">
        <v>342</v>
      </c>
      <c r="B4" s="261"/>
      <c r="C4" s="261"/>
      <c r="D4" s="261"/>
      <c r="E4" s="261"/>
      <c r="F4" s="261"/>
      <c r="G4" s="261"/>
      <c r="H4" s="261"/>
      <c r="I4" s="261"/>
      <c r="J4" s="261"/>
      <c r="K4" s="261"/>
      <c r="L4" s="261"/>
      <c r="M4" s="262"/>
      <c r="N4" s="260" t="s">
        <v>342</v>
      </c>
      <c r="O4" s="261"/>
      <c r="P4" s="261"/>
      <c r="Q4" s="261"/>
      <c r="R4" s="261"/>
      <c r="S4" s="261"/>
      <c r="T4" s="261"/>
      <c r="U4" s="261"/>
      <c r="V4" s="261"/>
      <c r="W4" s="261"/>
      <c r="X4" s="261"/>
      <c r="Y4" s="261"/>
      <c r="Z4" s="262"/>
    </row>
    <row r="5" spans="1:20" ht="6" customHeight="1">
      <c r="A5" s="259"/>
      <c r="B5" s="259"/>
      <c r="C5" s="259"/>
      <c r="D5" s="259"/>
      <c r="E5" s="259"/>
      <c r="F5" s="259"/>
      <c r="G5" s="259"/>
      <c r="N5" s="259"/>
      <c r="O5" s="259"/>
      <c r="P5" s="259"/>
      <c r="Q5" s="259"/>
      <c r="R5" s="259"/>
      <c r="S5" s="259"/>
      <c r="T5" s="259"/>
    </row>
    <row r="6" spans="1:26" ht="18" customHeight="1">
      <c r="A6" s="268" t="s">
        <v>341</v>
      </c>
      <c r="B6" s="269"/>
      <c r="C6" s="269"/>
      <c r="D6" s="269"/>
      <c r="E6" s="269"/>
      <c r="F6" s="269"/>
      <c r="G6" s="269"/>
      <c r="H6" s="269"/>
      <c r="I6" s="269"/>
      <c r="J6" s="269"/>
      <c r="K6" s="269"/>
      <c r="L6" s="269"/>
      <c r="M6" s="270"/>
      <c r="N6" s="268" t="s">
        <v>341</v>
      </c>
      <c r="O6" s="269"/>
      <c r="P6" s="269"/>
      <c r="Q6" s="269"/>
      <c r="R6" s="269"/>
      <c r="S6" s="269"/>
      <c r="T6" s="269"/>
      <c r="U6" s="269"/>
      <c r="V6" s="269"/>
      <c r="W6" s="269"/>
      <c r="X6" s="269"/>
      <c r="Y6" s="269"/>
      <c r="Z6" s="270"/>
    </row>
    <row r="7" spans="1:26" ht="18" customHeight="1">
      <c r="A7" s="268" t="str">
        <f>SINTETICO_PAC_OBRA_3000!A7</f>
        <v>REFERENCIA: OBRA -  PEC 3000 </v>
      </c>
      <c r="B7" s="269"/>
      <c r="C7" s="269"/>
      <c r="D7" s="269"/>
      <c r="E7" s="269"/>
      <c r="F7" s="269"/>
      <c r="G7" s="270"/>
      <c r="H7" s="268" t="str">
        <f>SINTETICO_PAC_OBRA_3000!D7</f>
        <v>CONTRATO: 0363.358-88</v>
      </c>
      <c r="I7" s="269"/>
      <c r="J7" s="269"/>
      <c r="K7" s="269"/>
      <c r="L7" s="269"/>
      <c r="M7" s="270"/>
      <c r="N7" s="268" t="str">
        <f>SINTETICO_PAC_OBRA_3000!A7</f>
        <v>REFERENCIA: OBRA -  PEC 3000 </v>
      </c>
      <c r="O7" s="269"/>
      <c r="P7" s="269"/>
      <c r="Q7" s="269"/>
      <c r="R7" s="269"/>
      <c r="S7" s="269"/>
      <c r="T7" s="270"/>
      <c r="U7" s="268" t="str">
        <f>SINTETICO_PAC_OBRA_3000!D7</f>
        <v>CONTRATO: 0363.358-88</v>
      </c>
      <c r="V7" s="269"/>
      <c r="W7" s="269"/>
      <c r="X7" s="269"/>
      <c r="Y7" s="269"/>
      <c r="Z7" s="270"/>
    </row>
    <row r="8" spans="1:26" ht="18" customHeight="1">
      <c r="A8" s="271" t="s">
        <v>271</v>
      </c>
      <c r="B8" s="254"/>
      <c r="C8" s="254"/>
      <c r="D8" s="254"/>
      <c r="E8" s="254"/>
      <c r="F8" s="254"/>
      <c r="G8" s="254"/>
      <c r="H8" s="254"/>
      <c r="I8" s="254"/>
      <c r="J8" s="254"/>
      <c r="K8" s="254"/>
      <c r="L8" s="254"/>
      <c r="M8" s="255"/>
      <c r="N8" s="271" t="s">
        <v>271</v>
      </c>
      <c r="O8" s="254"/>
      <c r="P8" s="254"/>
      <c r="Q8" s="254"/>
      <c r="R8" s="254"/>
      <c r="S8" s="254"/>
      <c r="T8" s="254"/>
      <c r="U8" s="254"/>
      <c r="V8" s="254"/>
      <c r="W8" s="254"/>
      <c r="X8" s="254"/>
      <c r="Y8" s="254"/>
      <c r="Z8" s="255"/>
    </row>
    <row r="9" spans="1:26" ht="18" customHeight="1">
      <c r="A9" s="271" t="s">
        <v>33</v>
      </c>
      <c r="B9" s="254"/>
      <c r="C9" s="254"/>
      <c r="D9" s="254"/>
      <c r="E9" s="254"/>
      <c r="F9" s="254"/>
      <c r="G9" s="255"/>
      <c r="H9" s="271" t="s">
        <v>34</v>
      </c>
      <c r="I9" s="254"/>
      <c r="J9" s="255"/>
      <c r="K9" s="6" t="str">
        <f>SINTETICO_PAC_OBRA_3000!F9</f>
        <v>ART Nº : 275096</v>
      </c>
      <c r="L9" s="7"/>
      <c r="M9" s="8"/>
      <c r="N9" s="271" t="s">
        <v>33</v>
      </c>
      <c r="O9" s="254"/>
      <c r="P9" s="254"/>
      <c r="Q9" s="254"/>
      <c r="R9" s="254"/>
      <c r="S9" s="254"/>
      <c r="T9" s="255"/>
      <c r="U9" s="271" t="s">
        <v>34</v>
      </c>
      <c r="V9" s="254"/>
      <c r="W9" s="255"/>
      <c r="X9" s="6" t="str">
        <f>K9</f>
        <v>ART Nº : 275096</v>
      </c>
      <c r="Y9" s="7"/>
      <c r="Z9" s="8"/>
    </row>
    <row r="10" spans="1:26" s="27" customFormat="1" ht="18" customHeight="1">
      <c r="A10" s="264" t="s">
        <v>38</v>
      </c>
      <c r="B10" s="272"/>
      <c r="C10" s="272"/>
      <c r="D10" s="272"/>
      <c r="E10" s="272"/>
      <c r="F10" s="272"/>
      <c r="G10" s="273"/>
      <c r="H10" s="9" t="s">
        <v>35</v>
      </c>
      <c r="I10" s="277">
        <v>40933</v>
      </c>
      <c r="J10" s="278"/>
      <c r="K10" s="11" t="s">
        <v>36</v>
      </c>
      <c r="L10" s="98">
        <v>0.2347</v>
      </c>
      <c r="M10" s="10"/>
      <c r="N10" s="264" t="s">
        <v>38</v>
      </c>
      <c r="O10" s="272"/>
      <c r="P10" s="272"/>
      <c r="Q10" s="272"/>
      <c r="R10" s="272"/>
      <c r="S10" s="272"/>
      <c r="T10" s="273"/>
      <c r="U10" s="9" t="s">
        <v>35</v>
      </c>
      <c r="V10" s="277">
        <f>I10</f>
        <v>40933</v>
      </c>
      <c r="W10" s="278"/>
      <c r="X10" s="11" t="s">
        <v>36</v>
      </c>
      <c r="Y10" s="98">
        <v>0.2347</v>
      </c>
      <c r="Z10" s="10"/>
    </row>
    <row r="11" ht="6" customHeight="1" thickBot="1"/>
    <row r="12" spans="1:26" ht="25.5">
      <c r="A12" s="28" t="s">
        <v>522</v>
      </c>
      <c r="B12" s="29" t="s">
        <v>524</v>
      </c>
      <c r="C12" s="30" t="s">
        <v>91</v>
      </c>
      <c r="D12" s="31" t="s">
        <v>92</v>
      </c>
      <c r="E12" s="275" t="s">
        <v>93</v>
      </c>
      <c r="F12" s="275"/>
      <c r="G12" s="275"/>
      <c r="H12" s="275" t="s">
        <v>94</v>
      </c>
      <c r="I12" s="275"/>
      <c r="J12" s="275"/>
      <c r="K12" s="275" t="s">
        <v>95</v>
      </c>
      <c r="L12" s="275"/>
      <c r="M12" s="275"/>
      <c r="N12" s="32" t="str">
        <f>A12</f>
        <v>ITEM</v>
      </c>
      <c r="O12" s="32" t="str">
        <f>B12</f>
        <v>DESCRIÇÃO</v>
      </c>
      <c r="P12" s="30" t="s">
        <v>91</v>
      </c>
      <c r="Q12" s="31" t="s">
        <v>92</v>
      </c>
      <c r="R12" s="275" t="s">
        <v>96</v>
      </c>
      <c r="S12" s="275"/>
      <c r="T12" s="275"/>
      <c r="U12" s="276" t="s">
        <v>97</v>
      </c>
      <c r="V12" s="276"/>
      <c r="W12" s="276"/>
      <c r="X12" s="275" t="s">
        <v>98</v>
      </c>
      <c r="Y12" s="275"/>
      <c r="Z12" s="275"/>
    </row>
    <row r="13" spans="1:26" ht="13.5" thickBot="1">
      <c r="A13" s="33"/>
      <c r="B13" s="34"/>
      <c r="C13" s="35"/>
      <c r="D13" s="36"/>
      <c r="E13" s="37" t="s">
        <v>99</v>
      </c>
      <c r="F13" s="38" t="s">
        <v>100</v>
      </c>
      <c r="G13" s="39" t="s">
        <v>101</v>
      </c>
      <c r="H13" s="37" t="s">
        <v>99</v>
      </c>
      <c r="I13" s="38" t="s">
        <v>100</v>
      </c>
      <c r="J13" s="39" t="s">
        <v>101</v>
      </c>
      <c r="K13" s="40" t="s">
        <v>99</v>
      </c>
      <c r="L13" s="38" t="s">
        <v>100</v>
      </c>
      <c r="M13" s="41" t="s">
        <v>101</v>
      </c>
      <c r="N13" s="42"/>
      <c r="O13" s="42"/>
      <c r="P13" s="42"/>
      <c r="Q13" s="42"/>
      <c r="R13" s="37" t="s">
        <v>99</v>
      </c>
      <c r="S13" s="38" t="s">
        <v>100</v>
      </c>
      <c r="T13" s="39" t="s">
        <v>101</v>
      </c>
      <c r="U13" s="43" t="s">
        <v>99</v>
      </c>
      <c r="V13" s="44" t="s">
        <v>100</v>
      </c>
      <c r="W13" s="45" t="s">
        <v>101</v>
      </c>
      <c r="X13" s="40" t="s">
        <v>99</v>
      </c>
      <c r="Y13" s="38" t="s">
        <v>100</v>
      </c>
      <c r="Z13" s="41" t="s">
        <v>101</v>
      </c>
    </row>
    <row r="14" spans="1:26" ht="12.75">
      <c r="A14" s="14"/>
      <c r="B14" s="15"/>
      <c r="C14" s="16"/>
      <c r="D14" s="17"/>
      <c r="E14" s="18"/>
      <c r="F14" s="19"/>
      <c r="G14" s="20"/>
      <c r="H14" s="18"/>
      <c r="I14" s="19"/>
      <c r="J14" s="20"/>
      <c r="K14" s="21"/>
      <c r="L14" s="19"/>
      <c r="M14" s="22"/>
      <c r="N14" s="23"/>
      <c r="O14" s="23"/>
      <c r="P14" s="23"/>
      <c r="Q14" s="23"/>
      <c r="R14" s="18"/>
      <c r="S14" s="19"/>
      <c r="T14" s="20"/>
      <c r="U14" s="24"/>
      <c r="V14" s="25"/>
      <c r="W14" s="26"/>
      <c r="X14" s="21"/>
      <c r="Y14" s="19"/>
      <c r="Z14" s="22"/>
    </row>
    <row r="15" spans="1:28" s="131" customFormat="1" ht="12.75">
      <c r="A15" s="123">
        <f>SINTETICO_PAC_OBRA_3000!A14</f>
        <v>1000000</v>
      </c>
      <c r="B15" s="124" t="str">
        <f>SINTETICO_PAC_OBRA_3000!C14</f>
        <v>SERVIÇOS INICIAIS</v>
      </c>
      <c r="C15" s="125">
        <f>SINTETICO_PAC_OBRA_3000!G14*(1.2347)</f>
        <v>27046.996928919998</v>
      </c>
      <c r="D15" s="126">
        <f>C15/$C$82</f>
        <v>0.015288289516728367</v>
      </c>
      <c r="E15" s="122">
        <f>C15</f>
        <v>27046.996928919998</v>
      </c>
      <c r="F15" s="122">
        <v>100</v>
      </c>
      <c r="G15" s="122">
        <f>F15</f>
        <v>100</v>
      </c>
      <c r="H15" s="122">
        <f>$C$22*I15%</f>
        <v>0</v>
      </c>
      <c r="I15" s="122">
        <v>0</v>
      </c>
      <c r="J15" s="122">
        <f>I15+G15</f>
        <v>100</v>
      </c>
      <c r="K15" s="122">
        <f>$C$22*L15%</f>
        <v>0</v>
      </c>
      <c r="L15" s="122">
        <v>0</v>
      </c>
      <c r="M15" s="122">
        <f>L15+J15</f>
        <v>100</v>
      </c>
      <c r="N15" s="127">
        <f>A15</f>
        <v>1000000</v>
      </c>
      <c r="O15" s="128" t="str">
        <f>B15</f>
        <v>SERVIÇOS INICIAIS</v>
      </c>
      <c r="P15" s="122">
        <f>C15</f>
        <v>27046.996928919998</v>
      </c>
      <c r="Q15" s="129">
        <f>P15/$P$82</f>
        <v>0.015288289516728367</v>
      </c>
      <c r="R15" s="122">
        <f>$C$22*S15%</f>
        <v>0</v>
      </c>
      <c r="S15" s="122">
        <v>0</v>
      </c>
      <c r="T15" s="122">
        <f>S15+M15</f>
        <v>100</v>
      </c>
      <c r="U15" s="130">
        <f>$C$22*V15%</f>
        <v>0</v>
      </c>
      <c r="V15" s="130">
        <v>0</v>
      </c>
      <c r="W15" s="130">
        <f>V15+T15</f>
        <v>100</v>
      </c>
      <c r="X15" s="122">
        <f>$C$22*Y15%</f>
        <v>0</v>
      </c>
      <c r="Y15" s="122">
        <v>0</v>
      </c>
      <c r="Z15" s="122">
        <f>Y15+W15</f>
        <v>100</v>
      </c>
      <c r="AB15" s="132"/>
    </row>
    <row r="16" spans="1:28" s="109" customFormat="1" ht="12.75">
      <c r="A16" s="102"/>
      <c r="B16" s="111"/>
      <c r="C16" s="112"/>
      <c r="D16" s="113"/>
      <c r="E16" s="114"/>
      <c r="F16" s="114"/>
      <c r="G16" s="114"/>
      <c r="H16" s="114"/>
      <c r="I16" s="114"/>
      <c r="J16" s="114"/>
      <c r="K16" s="114"/>
      <c r="L16" s="114"/>
      <c r="M16" s="114"/>
      <c r="N16" s="115"/>
      <c r="O16" s="116"/>
      <c r="P16" s="114"/>
      <c r="Q16" s="114"/>
      <c r="R16" s="114"/>
      <c r="S16" s="114"/>
      <c r="T16" s="114"/>
      <c r="U16" s="117"/>
      <c r="V16" s="117"/>
      <c r="W16" s="117"/>
      <c r="X16" s="114"/>
      <c r="Y16" s="114"/>
      <c r="Z16" s="114"/>
      <c r="AB16" s="110"/>
    </row>
    <row r="17" spans="1:28" s="131" customFormat="1" ht="12.75">
      <c r="A17" s="133">
        <f>SINTETICO_PAC_OBRA_3000!A21</f>
        <v>2000000</v>
      </c>
      <c r="B17" s="134" t="str">
        <f>SINTETICO_PAC_OBRA_3000!C21</f>
        <v>INSTALAÇÕES DO CANTEIRO / SERVIÇOS GERAIS</v>
      </c>
      <c r="C17" s="135">
        <f>SINTETICO_PAC_OBRA_3000!G21*(1.2347)</f>
        <v>14300.839161879998</v>
      </c>
      <c r="D17" s="136">
        <f>C17/$C$82</f>
        <v>0.008083535854777748</v>
      </c>
      <c r="E17" s="122">
        <f>C17</f>
        <v>14300.839161879998</v>
      </c>
      <c r="F17" s="122">
        <v>100</v>
      </c>
      <c r="G17" s="122">
        <f>F17</f>
        <v>100</v>
      </c>
      <c r="H17" s="122">
        <f>$C$24*I17%</f>
        <v>0</v>
      </c>
      <c r="I17" s="122">
        <v>0</v>
      </c>
      <c r="J17" s="122">
        <f>I17+G17</f>
        <v>100</v>
      </c>
      <c r="K17" s="122">
        <f>$C$24*L17%</f>
        <v>0</v>
      </c>
      <c r="L17" s="122">
        <v>0</v>
      </c>
      <c r="M17" s="122">
        <f>L17+J17</f>
        <v>100</v>
      </c>
      <c r="N17" s="127">
        <f>A17</f>
        <v>2000000</v>
      </c>
      <c r="O17" s="128" t="str">
        <f>B17</f>
        <v>INSTALAÇÕES DO CANTEIRO / SERVIÇOS GERAIS</v>
      </c>
      <c r="P17" s="122">
        <f>C17</f>
        <v>14300.839161879998</v>
      </c>
      <c r="Q17" s="129">
        <f>P17/$P$82</f>
        <v>0.008083535854777748</v>
      </c>
      <c r="R17" s="122">
        <f>$C$24*S17%</f>
        <v>0</v>
      </c>
      <c r="S17" s="122">
        <v>0</v>
      </c>
      <c r="T17" s="122">
        <f>S17+M17</f>
        <v>100</v>
      </c>
      <c r="U17" s="130">
        <f>$C$24*V17%</f>
        <v>0</v>
      </c>
      <c r="V17" s="130">
        <v>0</v>
      </c>
      <c r="W17" s="130">
        <f>V17+T17</f>
        <v>100</v>
      </c>
      <c r="X17" s="122">
        <f>$C$24*Y17%</f>
        <v>0</v>
      </c>
      <c r="Y17" s="122">
        <v>0</v>
      </c>
      <c r="Z17" s="122">
        <f>Y17+W17</f>
        <v>100</v>
      </c>
      <c r="AB17" s="132"/>
    </row>
    <row r="18" spans="1:28" s="109" customFormat="1" ht="12.75">
      <c r="A18" s="119"/>
      <c r="B18" s="111"/>
      <c r="C18" s="112"/>
      <c r="D18" s="113"/>
      <c r="E18" s="114"/>
      <c r="F18" s="114"/>
      <c r="G18" s="114"/>
      <c r="H18" s="114"/>
      <c r="I18" s="114"/>
      <c r="J18" s="114"/>
      <c r="K18" s="114"/>
      <c r="L18" s="114"/>
      <c r="M18" s="114"/>
      <c r="N18" s="115"/>
      <c r="O18" s="116"/>
      <c r="P18" s="114"/>
      <c r="Q18" s="114"/>
      <c r="R18" s="114"/>
      <c r="S18" s="114"/>
      <c r="T18" s="114"/>
      <c r="U18" s="117"/>
      <c r="V18" s="117"/>
      <c r="W18" s="117"/>
      <c r="X18" s="114"/>
      <c r="Y18" s="114"/>
      <c r="Z18" s="114"/>
      <c r="AB18" s="110"/>
    </row>
    <row r="19" spans="1:28" s="131" customFormat="1" ht="12.75">
      <c r="A19" s="133">
        <f>SINTETICO_PAC_OBRA_3000!A25</f>
        <v>3000000</v>
      </c>
      <c r="B19" s="134" t="str">
        <f>SINTETICO_PAC_OBRA_3000!C25</f>
        <v>MOVIMENTO TERRA </v>
      </c>
      <c r="C19" s="135">
        <f>SINTETICO_PAC_OBRA_3000!G25*(1.2347)</f>
        <v>44438.44107113999</v>
      </c>
      <c r="D19" s="136">
        <f>C19/$C$82</f>
        <v>0.025118786923114023</v>
      </c>
      <c r="E19" s="122">
        <f>C19</f>
        <v>44438.44107113999</v>
      </c>
      <c r="F19" s="122">
        <v>100</v>
      </c>
      <c r="G19" s="122">
        <f>F19</f>
        <v>100</v>
      </c>
      <c r="H19" s="122">
        <f>$C$26*I19%</f>
        <v>0</v>
      </c>
      <c r="I19" s="122">
        <v>0</v>
      </c>
      <c r="J19" s="122">
        <f>I19+G19</f>
        <v>100</v>
      </c>
      <c r="K19" s="122">
        <f>$C$26*L19%</f>
        <v>0</v>
      </c>
      <c r="L19" s="122">
        <v>0</v>
      </c>
      <c r="M19" s="122">
        <f>L19+J19</f>
        <v>100</v>
      </c>
      <c r="N19" s="127">
        <f>A19</f>
        <v>3000000</v>
      </c>
      <c r="O19" s="128" t="str">
        <f>B19</f>
        <v>MOVIMENTO TERRA </v>
      </c>
      <c r="P19" s="122">
        <f>C19</f>
        <v>44438.44107113999</v>
      </c>
      <c r="Q19" s="129">
        <f>P19/$P$82</f>
        <v>0.025118786923114023</v>
      </c>
      <c r="R19" s="122">
        <f>$C$26*S19%</f>
        <v>0</v>
      </c>
      <c r="S19" s="122">
        <v>0</v>
      </c>
      <c r="T19" s="122">
        <f>S19+M19</f>
        <v>100</v>
      </c>
      <c r="U19" s="130">
        <f>$C$26*V19%</f>
        <v>0</v>
      </c>
      <c r="V19" s="130">
        <v>0</v>
      </c>
      <c r="W19" s="130">
        <f>V19+T19</f>
        <v>100</v>
      </c>
      <c r="X19" s="122">
        <f>$C$26*Y19%</f>
        <v>0</v>
      </c>
      <c r="Y19" s="122">
        <v>0</v>
      </c>
      <c r="Z19" s="122">
        <f>Y19+W19</f>
        <v>100</v>
      </c>
      <c r="AB19" s="132"/>
    </row>
    <row r="20" spans="1:28" s="109" customFormat="1" ht="12.75">
      <c r="A20" s="119"/>
      <c r="B20" s="111"/>
      <c r="C20" s="112"/>
      <c r="D20" s="113"/>
      <c r="E20" s="114"/>
      <c r="F20" s="114"/>
      <c r="G20" s="114"/>
      <c r="H20" s="114"/>
      <c r="I20" s="114"/>
      <c r="J20" s="114"/>
      <c r="K20" s="114"/>
      <c r="L20" s="114"/>
      <c r="M20" s="114"/>
      <c r="N20" s="115"/>
      <c r="O20" s="116"/>
      <c r="P20" s="114"/>
      <c r="Q20" s="114"/>
      <c r="R20" s="114"/>
      <c r="S20" s="114"/>
      <c r="T20" s="114"/>
      <c r="U20" s="117"/>
      <c r="V20" s="117"/>
      <c r="W20" s="117"/>
      <c r="X20" s="114"/>
      <c r="Y20" s="114"/>
      <c r="Z20" s="114"/>
      <c r="AB20" s="110"/>
    </row>
    <row r="21" spans="1:28" s="131" customFormat="1" ht="12.75">
      <c r="A21" s="133">
        <f>SINTETICO_PAC_OBRA_3000!A32</f>
        <v>4000000</v>
      </c>
      <c r="B21" s="134" t="str">
        <f>SINTETICO_PAC_OBRA_3000!C32</f>
        <v>INFRA-ESTRUTURA </v>
      </c>
      <c r="C21" s="135">
        <f>SINTETICO_PAC_OBRA_3000!G32*(1.2347)</f>
        <v>106033.35521935999</v>
      </c>
      <c r="D21" s="136">
        <f>C21/$C$82</f>
        <v>0.05993525407955177</v>
      </c>
      <c r="E21" s="122">
        <f>0.5*C21</f>
        <v>53016.677609679995</v>
      </c>
      <c r="F21" s="122">
        <v>50</v>
      </c>
      <c r="G21" s="122">
        <f>F21</f>
        <v>50</v>
      </c>
      <c r="H21" s="122">
        <f>0.5*C21</f>
        <v>53016.677609679995</v>
      </c>
      <c r="I21" s="122">
        <v>50</v>
      </c>
      <c r="J21" s="122">
        <f>I21+G21</f>
        <v>100</v>
      </c>
      <c r="K21" s="122">
        <f>$C$28*L21%</f>
        <v>0</v>
      </c>
      <c r="L21" s="122">
        <v>0</v>
      </c>
      <c r="M21" s="122">
        <f>L21+J21</f>
        <v>100</v>
      </c>
      <c r="N21" s="127">
        <f>A21</f>
        <v>4000000</v>
      </c>
      <c r="O21" s="128" t="str">
        <f>B21</f>
        <v>INFRA-ESTRUTURA </v>
      </c>
      <c r="P21" s="122">
        <f>C21</f>
        <v>106033.35521935999</v>
      </c>
      <c r="Q21" s="129">
        <f>P21/$P$82</f>
        <v>0.05993525407955177</v>
      </c>
      <c r="R21" s="122">
        <f>$C$28*S21%</f>
        <v>0</v>
      </c>
      <c r="S21" s="122">
        <v>0</v>
      </c>
      <c r="T21" s="122">
        <f>S21+M21</f>
        <v>100</v>
      </c>
      <c r="U21" s="130">
        <f>$C$28*V25%</f>
        <v>0</v>
      </c>
      <c r="V21" s="137"/>
      <c r="W21" s="137"/>
      <c r="X21" s="122">
        <f>$C$28*Y21%</f>
        <v>0</v>
      </c>
      <c r="Y21" s="122">
        <v>0</v>
      </c>
      <c r="Z21" s="122">
        <f>Y21+W25</f>
        <v>100</v>
      </c>
      <c r="AB21" s="132"/>
    </row>
    <row r="22" spans="1:28" s="109" customFormat="1" ht="12.75">
      <c r="A22" s="119"/>
      <c r="B22" s="111"/>
      <c r="C22" s="112"/>
      <c r="D22" s="113"/>
      <c r="E22" s="114"/>
      <c r="F22" s="114"/>
      <c r="G22" s="114"/>
      <c r="H22" s="114"/>
      <c r="I22" s="114"/>
      <c r="J22" s="114"/>
      <c r="K22" s="114"/>
      <c r="L22" s="114"/>
      <c r="M22" s="114"/>
      <c r="N22" s="115"/>
      <c r="O22" s="116"/>
      <c r="P22" s="114"/>
      <c r="Q22" s="114"/>
      <c r="R22" s="114"/>
      <c r="S22" s="114"/>
      <c r="T22" s="114"/>
      <c r="U22" s="117"/>
      <c r="V22" s="117"/>
      <c r="W22" s="117"/>
      <c r="X22" s="114"/>
      <c r="Y22" s="114"/>
      <c r="Z22" s="114"/>
      <c r="AB22" s="110"/>
    </row>
    <row r="23" spans="1:28" s="131" customFormat="1" ht="12.75">
      <c r="A23" s="133">
        <f>SINTETICO_PAC_OBRA_3000!A46</f>
        <v>5000000</v>
      </c>
      <c r="B23" s="134" t="str">
        <f>SINTETICO_PAC_OBRA_3000!C46</f>
        <v>SUPER-ESTRUTURA</v>
      </c>
      <c r="C23" s="135">
        <f>SINTETICO_PAC_OBRA_3000!G46*(1.2347)</f>
        <v>339226.81054583</v>
      </c>
      <c r="D23" s="136">
        <f>C23/$C$82</f>
        <v>0.1917476348701645</v>
      </c>
      <c r="E23" s="122">
        <f>$C$30*F23%</f>
        <v>0</v>
      </c>
      <c r="F23" s="122">
        <v>0</v>
      </c>
      <c r="G23" s="122">
        <f>F23</f>
        <v>0</v>
      </c>
      <c r="H23" s="122">
        <f>0.4*C23</f>
        <v>135690.724218332</v>
      </c>
      <c r="I23" s="122">
        <v>40</v>
      </c>
      <c r="J23" s="122">
        <f>I23+G23</f>
        <v>40</v>
      </c>
      <c r="K23" s="122">
        <f>0.4*C23</f>
        <v>135690.724218332</v>
      </c>
      <c r="L23" s="122">
        <v>40</v>
      </c>
      <c r="M23" s="122">
        <f>L23+J23</f>
        <v>80</v>
      </c>
      <c r="N23" s="127">
        <f>A23</f>
        <v>5000000</v>
      </c>
      <c r="O23" s="128" t="str">
        <f>B23</f>
        <v>SUPER-ESTRUTURA</v>
      </c>
      <c r="P23" s="122">
        <f>C23</f>
        <v>339226.81054583</v>
      </c>
      <c r="Q23" s="129">
        <f>P23/$P$82</f>
        <v>0.1917476348701645</v>
      </c>
      <c r="R23" s="122">
        <f>0.2*C23</f>
        <v>67845.362109166</v>
      </c>
      <c r="S23" s="122">
        <v>20</v>
      </c>
      <c r="T23" s="122">
        <f>S23+M23</f>
        <v>100</v>
      </c>
      <c r="U23" s="130">
        <f>$C$30*V23%</f>
        <v>0</v>
      </c>
      <c r="V23" s="130">
        <v>0</v>
      </c>
      <c r="W23" s="130">
        <f>V23+T23</f>
        <v>100</v>
      </c>
      <c r="X23" s="122">
        <f>$C$30*Y23%</f>
        <v>0</v>
      </c>
      <c r="Y23" s="122">
        <v>0</v>
      </c>
      <c r="Z23" s="122">
        <f>Y23+W23</f>
        <v>100</v>
      </c>
      <c r="AB23" s="132"/>
    </row>
    <row r="24" spans="1:28" s="109" customFormat="1" ht="12.75">
      <c r="A24" s="102"/>
      <c r="B24" s="111"/>
      <c r="C24" s="112"/>
      <c r="D24" s="113"/>
      <c r="E24" s="114"/>
      <c r="F24" s="114"/>
      <c r="G24" s="114"/>
      <c r="H24" s="114"/>
      <c r="I24" s="114"/>
      <c r="J24" s="114"/>
      <c r="K24" s="114"/>
      <c r="L24" s="114"/>
      <c r="M24" s="114"/>
      <c r="N24" s="115"/>
      <c r="O24" s="116"/>
      <c r="P24" s="114"/>
      <c r="Q24" s="114"/>
      <c r="R24" s="114"/>
      <c r="S24" s="114"/>
      <c r="T24" s="114"/>
      <c r="U24" s="117"/>
      <c r="V24" s="117"/>
      <c r="W24" s="117"/>
      <c r="X24" s="114"/>
      <c r="Y24" s="114"/>
      <c r="Z24" s="114"/>
      <c r="AB24" s="110"/>
    </row>
    <row r="25" spans="1:28" s="131" customFormat="1" ht="12.75">
      <c r="A25" s="133">
        <f>SINTETICO_PAC_OBRA_3000!A57</f>
        <v>6000000</v>
      </c>
      <c r="B25" s="138" t="str">
        <f>SINTETICO_PAC_OBRA_3000!C57</f>
        <v>PAREDES E PAINEIS</v>
      </c>
      <c r="C25" s="135">
        <f>SINTETICO_PAC_OBRA_3000!G57*(1.2347)</f>
        <v>55707.98431411998</v>
      </c>
      <c r="D25" s="136">
        <f>C25/$C$82</f>
        <v>0.03148888561735186</v>
      </c>
      <c r="E25" s="122">
        <f>$C$32*F25%</f>
        <v>0</v>
      </c>
      <c r="F25" s="122">
        <v>0</v>
      </c>
      <c r="G25" s="122">
        <f>F25</f>
        <v>0</v>
      </c>
      <c r="H25" s="122">
        <f>0.1*C25</f>
        <v>5570.7984314119985</v>
      </c>
      <c r="I25" s="122">
        <v>10</v>
      </c>
      <c r="J25" s="122">
        <f>I25+G25</f>
        <v>10</v>
      </c>
      <c r="K25" s="122">
        <f>0.7*C25</f>
        <v>38995.589019883984</v>
      </c>
      <c r="L25" s="122">
        <v>70</v>
      </c>
      <c r="M25" s="122">
        <f>L25+J25</f>
        <v>80</v>
      </c>
      <c r="N25" s="127">
        <f>A25</f>
        <v>6000000</v>
      </c>
      <c r="O25" s="128" t="str">
        <f>B25</f>
        <v>PAREDES E PAINEIS</v>
      </c>
      <c r="P25" s="122">
        <f>C25</f>
        <v>55707.98431411998</v>
      </c>
      <c r="Q25" s="129">
        <f>P25/$P$82</f>
        <v>0.03148888561735186</v>
      </c>
      <c r="R25" s="122">
        <f>0.2*C25</f>
        <v>11141.596862823997</v>
      </c>
      <c r="S25" s="122">
        <v>20</v>
      </c>
      <c r="T25" s="122">
        <f>S25+M25</f>
        <v>100</v>
      </c>
      <c r="U25" s="130">
        <f>$C$30*V25%</f>
        <v>0</v>
      </c>
      <c r="V25" s="130">
        <v>0</v>
      </c>
      <c r="W25" s="130">
        <f>V25+T21</f>
        <v>100</v>
      </c>
      <c r="X25" s="130">
        <f>$C$30*Y25%</f>
        <v>0</v>
      </c>
      <c r="Y25" s="130">
        <v>0</v>
      </c>
      <c r="Z25" s="122">
        <f>W25</f>
        <v>100</v>
      </c>
      <c r="AB25" s="132"/>
    </row>
    <row r="26" spans="1:28" s="109" customFormat="1" ht="12.75">
      <c r="A26" s="119"/>
      <c r="B26" s="111"/>
      <c r="C26" s="112"/>
      <c r="D26" s="113"/>
      <c r="E26" s="114"/>
      <c r="F26" s="114"/>
      <c r="G26" s="114"/>
      <c r="H26" s="114"/>
      <c r="I26" s="114"/>
      <c r="J26" s="114"/>
      <c r="K26" s="114"/>
      <c r="L26" s="114"/>
      <c r="M26" s="114"/>
      <c r="N26" s="115"/>
      <c r="O26" s="116"/>
      <c r="P26" s="114"/>
      <c r="Q26" s="114"/>
      <c r="R26" s="114"/>
      <c r="S26" s="114"/>
      <c r="T26" s="114"/>
      <c r="U26" s="117"/>
      <c r="V26" s="117"/>
      <c r="W26" s="117"/>
      <c r="X26" s="114"/>
      <c r="Y26" s="114"/>
      <c r="Z26" s="114"/>
      <c r="AB26" s="110"/>
    </row>
    <row r="27" spans="1:28" s="131" customFormat="1" ht="12.75">
      <c r="A27" s="133">
        <f>SINTETICO_PAC_OBRA_3000!A65</f>
        <v>7000000</v>
      </c>
      <c r="B27" s="134" t="str">
        <f>SINTETICO_PAC_OBRA_3000!C65</f>
        <v>ESQUADRIAS DE MADEIRA</v>
      </c>
      <c r="C27" s="135">
        <f>SINTETICO_PAC_OBRA_3000!G65*(1.2347)</f>
        <v>9417.748332</v>
      </c>
      <c r="D27" s="136">
        <f>C27/$C$82</f>
        <v>0.005323373366503018</v>
      </c>
      <c r="E27" s="122">
        <f>$C$34*F27%</f>
        <v>0</v>
      </c>
      <c r="F27" s="122">
        <v>0</v>
      </c>
      <c r="G27" s="122">
        <f>F27</f>
        <v>0</v>
      </c>
      <c r="H27" s="122">
        <f>$C$34*I27%</f>
        <v>0</v>
      </c>
      <c r="I27" s="122">
        <v>0</v>
      </c>
      <c r="J27" s="122">
        <f>I27+G27</f>
        <v>0</v>
      </c>
      <c r="K27" s="122">
        <f>0.5*C27</f>
        <v>4708.874166</v>
      </c>
      <c r="L27" s="122">
        <v>50</v>
      </c>
      <c r="M27" s="122">
        <f>L27+J27</f>
        <v>50</v>
      </c>
      <c r="N27" s="127">
        <f>A27</f>
        <v>7000000</v>
      </c>
      <c r="O27" s="128" t="str">
        <f>B27</f>
        <v>ESQUADRIAS DE MADEIRA</v>
      </c>
      <c r="P27" s="122">
        <f>C27</f>
        <v>9417.748332</v>
      </c>
      <c r="Q27" s="129">
        <f>P27/$P$82</f>
        <v>0.005323373366503018</v>
      </c>
      <c r="R27" s="122">
        <f>C27*0.5</f>
        <v>4708.874166</v>
      </c>
      <c r="S27" s="122">
        <v>50</v>
      </c>
      <c r="T27" s="122">
        <f>S27+M27</f>
        <v>100</v>
      </c>
      <c r="U27" s="130">
        <f>$C$30*V27%</f>
        <v>0</v>
      </c>
      <c r="V27" s="130">
        <v>0</v>
      </c>
      <c r="W27" s="130">
        <f>V27+T23</f>
        <v>100</v>
      </c>
      <c r="X27" s="130">
        <f>$C$30*Y27%</f>
        <v>0</v>
      </c>
      <c r="Y27" s="130">
        <v>0</v>
      </c>
      <c r="Z27" s="130">
        <f>Y27+W23</f>
        <v>100</v>
      </c>
      <c r="AB27" s="132"/>
    </row>
    <row r="28" spans="1:28" s="109" customFormat="1" ht="12.75">
      <c r="A28" s="119"/>
      <c r="B28" s="111"/>
      <c r="C28" s="112"/>
      <c r="D28" s="113"/>
      <c r="E28" s="114"/>
      <c r="F28" s="114"/>
      <c r="G28" s="114"/>
      <c r="H28" s="114"/>
      <c r="I28" s="114"/>
      <c r="J28" s="114"/>
      <c r="K28" s="114"/>
      <c r="L28" s="114"/>
      <c r="M28" s="114"/>
      <c r="N28" s="115"/>
      <c r="O28" s="116"/>
      <c r="P28" s="114"/>
      <c r="Q28" s="114"/>
      <c r="R28" s="114"/>
      <c r="S28" s="114"/>
      <c r="T28" s="114"/>
      <c r="U28" s="117"/>
      <c r="V28" s="117"/>
      <c r="W28" s="117"/>
      <c r="X28" s="114"/>
      <c r="Y28" s="114"/>
      <c r="Z28" s="114"/>
      <c r="AB28" s="110"/>
    </row>
    <row r="29" spans="1:28" s="131" customFormat="1" ht="12.75">
      <c r="A29" s="133">
        <f>SINTETICO_PAC_OBRA_3000!A72</f>
        <v>8000000</v>
      </c>
      <c r="B29" s="134" t="str">
        <f>SINTETICO_PAC_OBRA_3000!C72</f>
        <v>FERRAGENS</v>
      </c>
      <c r="C29" s="135">
        <f>SINTETICO_PAC_OBRA_3000!G72*(1.2347)</f>
        <v>3273.9552139999996</v>
      </c>
      <c r="D29" s="136">
        <f>C29/$C$82</f>
        <v>0.0018506000983390144</v>
      </c>
      <c r="E29" s="122">
        <f>$C$36*F29%</f>
        <v>0</v>
      </c>
      <c r="F29" s="122">
        <v>0</v>
      </c>
      <c r="G29" s="122">
        <f>F29</f>
        <v>0</v>
      </c>
      <c r="H29" s="122">
        <f>$C$36*I29%</f>
        <v>0</v>
      </c>
      <c r="I29" s="122">
        <v>0</v>
      </c>
      <c r="J29" s="122">
        <f>I29+G29</f>
        <v>0</v>
      </c>
      <c r="K29" s="122">
        <f>$C$36*L29%</f>
        <v>0</v>
      </c>
      <c r="L29" s="122">
        <v>0</v>
      </c>
      <c r="M29" s="122">
        <f>L29+J29</f>
        <v>0</v>
      </c>
      <c r="N29" s="127">
        <f>A29</f>
        <v>8000000</v>
      </c>
      <c r="O29" s="128" t="str">
        <f>B29</f>
        <v>FERRAGENS</v>
      </c>
      <c r="P29" s="122">
        <f>C29</f>
        <v>3273.9552139999996</v>
      </c>
      <c r="Q29" s="129">
        <f>P29/$P$82</f>
        <v>0.0018506000983390144</v>
      </c>
      <c r="R29" s="122">
        <f>C29</f>
        <v>3273.9552139999996</v>
      </c>
      <c r="S29" s="122">
        <v>100</v>
      </c>
      <c r="T29" s="122">
        <f>S29+M29</f>
        <v>100</v>
      </c>
      <c r="U29" s="130">
        <f>$C$36*V29%</f>
        <v>0</v>
      </c>
      <c r="V29" s="130">
        <v>0</v>
      </c>
      <c r="W29" s="130">
        <f>V29+T29</f>
        <v>100</v>
      </c>
      <c r="X29" s="130">
        <f>$C$30*Y29%</f>
        <v>0</v>
      </c>
      <c r="Y29" s="130">
        <v>0</v>
      </c>
      <c r="Z29" s="130">
        <f>Y29+W25</f>
        <v>100</v>
      </c>
      <c r="AB29" s="132"/>
    </row>
    <row r="30" spans="1:28" s="109" customFormat="1" ht="12.75">
      <c r="A30" s="119"/>
      <c r="B30" s="111"/>
      <c r="C30" s="112"/>
      <c r="D30" s="113"/>
      <c r="E30" s="114"/>
      <c r="F30" s="114"/>
      <c r="G30" s="114"/>
      <c r="H30" s="114"/>
      <c r="I30" s="114"/>
      <c r="J30" s="114"/>
      <c r="K30" s="114"/>
      <c r="L30" s="114"/>
      <c r="M30" s="114"/>
      <c r="N30" s="115"/>
      <c r="O30" s="116"/>
      <c r="P30" s="114"/>
      <c r="Q30" s="114"/>
      <c r="R30" s="114"/>
      <c r="S30" s="114"/>
      <c r="T30" s="114"/>
      <c r="U30" s="117"/>
      <c r="V30" s="117"/>
      <c r="W30" s="117"/>
      <c r="X30" s="114"/>
      <c r="Y30" s="114"/>
      <c r="Z30" s="114"/>
      <c r="AB30" s="110"/>
    </row>
    <row r="31" spans="1:28" s="131" customFormat="1" ht="12.75">
      <c r="A31" s="133">
        <f>SINTETICO_PAC_OBRA_3000!A76</f>
        <v>9000000</v>
      </c>
      <c r="B31" s="134" t="str">
        <f>SINTETICO_PAC_OBRA_3000!C76</f>
        <v>ESQUADRIAS DE ALUMINIO</v>
      </c>
      <c r="C31" s="135">
        <f>SINTETICO_PAC_OBRA_3000!G76*(1.2347)</f>
        <v>76526.13779106</v>
      </c>
      <c r="D31" s="136">
        <f>C31/$C$82</f>
        <v>0.043256327244811425</v>
      </c>
      <c r="E31" s="122">
        <f>$C$38*F31%</f>
        <v>0</v>
      </c>
      <c r="F31" s="122">
        <v>0</v>
      </c>
      <c r="G31" s="122">
        <f>F31</f>
        <v>0</v>
      </c>
      <c r="H31" s="122">
        <f>$C$38*I31%</f>
        <v>0</v>
      </c>
      <c r="I31" s="122">
        <v>0</v>
      </c>
      <c r="J31" s="122">
        <f>I31+G31</f>
        <v>0</v>
      </c>
      <c r="K31" s="122">
        <f>0.5*C31</f>
        <v>38263.06889553</v>
      </c>
      <c r="L31" s="122">
        <v>50</v>
      </c>
      <c r="M31" s="122">
        <f>L31+J31</f>
        <v>50</v>
      </c>
      <c r="N31" s="127">
        <f>A31</f>
        <v>9000000</v>
      </c>
      <c r="O31" s="128" t="str">
        <f>B31</f>
        <v>ESQUADRIAS DE ALUMINIO</v>
      </c>
      <c r="P31" s="122">
        <f>C31</f>
        <v>76526.13779106</v>
      </c>
      <c r="Q31" s="129">
        <f>P31/$P$82</f>
        <v>0.043256327244811425</v>
      </c>
      <c r="R31" s="122">
        <f>0.5*C31</f>
        <v>38263.06889553</v>
      </c>
      <c r="S31" s="122">
        <v>50</v>
      </c>
      <c r="T31" s="122">
        <f>S31+M31</f>
        <v>100</v>
      </c>
      <c r="U31" s="130">
        <f>$C$38*V31%</f>
        <v>0</v>
      </c>
      <c r="V31" s="130">
        <v>0</v>
      </c>
      <c r="W31" s="130">
        <f>V31+T31</f>
        <v>100</v>
      </c>
      <c r="X31" s="122">
        <f>$C$38*Y31%</f>
        <v>0</v>
      </c>
      <c r="Y31" s="122">
        <v>0</v>
      </c>
      <c r="Z31" s="122">
        <f>Y31+W31</f>
        <v>100</v>
      </c>
      <c r="AB31" s="132"/>
    </row>
    <row r="32" spans="1:28" s="109" customFormat="1" ht="12.75">
      <c r="A32" s="119"/>
      <c r="B32" s="111"/>
      <c r="C32" s="112"/>
      <c r="D32" s="113"/>
      <c r="E32" s="114"/>
      <c r="F32" s="114"/>
      <c r="G32" s="114"/>
      <c r="H32" s="114"/>
      <c r="I32" s="114"/>
      <c r="J32" s="114"/>
      <c r="K32" s="114"/>
      <c r="L32" s="114"/>
      <c r="M32" s="114"/>
      <c r="N32" s="115"/>
      <c r="O32" s="116"/>
      <c r="P32" s="114"/>
      <c r="Q32" s="114"/>
      <c r="R32" s="114"/>
      <c r="S32" s="114"/>
      <c r="T32" s="114"/>
      <c r="U32" s="117"/>
      <c r="V32" s="117"/>
      <c r="W32" s="117"/>
      <c r="X32" s="114"/>
      <c r="Y32" s="114"/>
      <c r="Z32" s="114"/>
      <c r="AB32" s="110"/>
    </row>
    <row r="33" spans="1:28" s="131" customFormat="1" ht="12.75">
      <c r="A33" s="133">
        <f>SINTETICO_PAC_OBRA_3000!A88</f>
        <v>10000000</v>
      </c>
      <c r="B33" s="134" t="str">
        <f>SINTETICO_PAC_OBRA_3000!C88</f>
        <v>ESQUADRIAS METÁLICAS</v>
      </c>
      <c r="C33" s="135">
        <f>SINTETICO_PAC_OBRA_3000!G88*(1.2347)</f>
        <v>17285.8</v>
      </c>
      <c r="D33" s="136">
        <f>C33/$C$82</f>
        <v>0.009770782154587085</v>
      </c>
      <c r="E33" s="122">
        <f>$C$40*F33%</f>
        <v>0</v>
      </c>
      <c r="F33" s="122">
        <v>0</v>
      </c>
      <c r="G33" s="122">
        <f>F33</f>
        <v>0</v>
      </c>
      <c r="H33" s="122">
        <f>$C$40*I33%</f>
        <v>0</v>
      </c>
      <c r="I33" s="122">
        <v>0</v>
      </c>
      <c r="J33" s="122">
        <f>I33+G33</f>
        <v>0</v>
      </c>
      <c r="K33" s="122">
        <f>$C$40*L33%</f>
        <v>0</v>
      </c>
      <c r="L33" s="122">
        <v>0</v>
      </c>
      <c r="M33" s="122">
        <f>L33+J33</f>
        <v>0</v>
      </c>
      <c r="N33" s="127">
        <f>A33</f>
        <v>10000000</v>
      </c>
      <c r="O33" s="128" t="str">
        <f>B33</f>
        <v>ESQUADRIAS METÁLICAS</v>
      </c>
      <c r="P33" s="122">
        <f>C33</f>
        <v>17285.8</v>
      </c>
      <c r="Q33" s="129">
        <f>P33/$P$82</f>
        <v>0.009770782154587085</v>
      </c>
      <c r="R33" s="122">
        <f>$C$40*S33%</f>
        <v>0</v>
      </c>
      <c r="S33" s="122">
        <v>0</v>
      </c>
      <c r="T33" s="122">
        <f>S33+M33</f>
        <v>0</v>
      </c>
      <c r="U33" s="130">
        <f>$C$40*V33%</f>
        <v>0</v>
      </c>
      <c r="V33" s="130">
        <v>0</v>
      </c>
      <c r="W33" s="130">
        <f>V33+T33</f>
        <v>0</v>
      </c>
      <c r="X33" s="122">
        <f>C33</f>
        <v>17285.8</v>
      </c>
      <c r="Y33" s="122">
        <v>100</v>
      </c>
      <c r="Z33" s="122">
        <f>Y33+W33</f>
        <v>100</v>
      </c>
      <c r="AB33" s="132"/>
    </row>
    <row r="34" spans="1:28" s="109" customFormat="1" ht="12.75">
      <c r="A34" s="119"/>
      <c r="B34" s="111"/>
      <c r="C34" s="112"/>
      <c r="D34" s="113"/>
      <c r="E34" s="114"/>
      <c r="F34" s="114"/>
      <c r="G34" s="114"/>
      <c r="H34" s="114"/>
      <c r="I34" s="114"/>
      <c r="J34" s="114"/>
      <c r="K34" s="114"/>
      <c r="L34" s="114"/>
      <c r="M34" s="114"/>
      <c r="N34" s="115"/>
      <c r="O34" s="116"/>
      <c r="P34" s="114"/>
      <c r="Q34" s="114"/>
      <c r="R34" s="114"/>
      <c r="S34" s="114"/>
      <c r="T34" s="114"/>
      <c r="U34" s="117"/>
      <c r="V34" s="117"/>
      <c r="W34" s="117"/>
      <c r="X34" s="114"/>
      <c r="Y34" s="114"/>
      <c r="Z34" s="114"/>
      <c r="AB34" s="110"/>
    </row>
    <row r="35" spans="1:28" s="131" customFormat="1" ht="12.75">
      <c r="A35" s="133">
        <f>SINTETICO_PAC_OBRA_3000!A91</f>
        <v>11000000</v>
      </c>
      <c r="B35" s="134" t="str">
        <f>SINTETICO_PAC_OBRA_3000!C91</f>
        <v>VIDROS</v>
      </c>
      <c r="C35" s="135">
        <f>SINTETICO_PAC_OBRA_3000!G91*(1.2347)</f>
        <v>17534.01458081</v>
      </c>
      <c r="D35" s="136">
        <f>C35/$C$82</f>
        <v>0.00991108521239677</v>
      </c>
      <c r="E35" s="122">
        <f>$C$42*F35%</f>
        <v>0</v>
      </c>
      <c r="F35" s="122">
        <v>0</v>
      </c>
      <c r="G35" s="122">
        <f>F35</f>
        <v>0</v>
      </c>
      <c r="H35" s="122">
        <f>$C$42*I35%</f>
        <v>0</v>
      </c>
      <c r="I35" s="122">
        <v>0</v>
      </c>
      <c r="J35" s="122">
        <f>I35+G35</f>
        <v>0</v>
      </c>
      <c r="K35" s="122">
        <f>$C$42*L35%</f>
        <v>0</v>
      </c>
      <c r="L35" s="122">
        <v>0</v>
      </c>
      <c r="M35" s="122">
        <f>L35+J35</f>
        <v>0</v>
      </c>
      <c r="N35" s="127">
        <f>A35</f>
        <v>11000000</v>
      </c>
      <c r="O35" s="128" t="str">
        <f>B35</f>
        <v>VIDROS</v>
      </c>
      <c r="P35" s="122">
        <f>C35</f>
        <v>17534.01458081</v>
      </c>
      <c r="Q35" s="129">
        <f>P35/$P$82</f>
        <v>0.00991108521239677</v>
      </c>
      <c r="R35" s="122">
        <f>$C$42*S35%</f>
        <v>0</v>
      </c>
      <c r="S35" s="122">
        <v>0</v>
      </c>
      <c r="T35" s="122">
        <f>S35+M35</f>
        <v>0</v>
      </c>
      <c r="U35" s="130">
        <f>0.4*C35</f>
        <v>7013.6058323239995</v>
      </c>
      <c r="V35" s="130">
        <v>40</v>
      </c>
      <c r="W35" s="130">
        <f>V35+T35</f>
        <v>40</v>
      </c>
      <c r="X35" s="122">
        <f>0.6*C35</f>
        <v>10520.408748486</v>
      </c>
      <c r="Y35" s="122">
        <v>60</v>
      </c>
      <c r="Z35" s="122">
        <f>Y35+W35</f>
        <v>100</v>
      </c>
      <c r="AB35" s="132"/>
    </row>
    <row r="36" spans="1:28" s="109" customFormat="1" ht="12.75">
      <c r="A36" s="102"/>
      <c r="B36" s="111"/>
      <c r="C36" s="112"/>
      <c r="D36" s="113"/>
      <c r="E36" s="114"/>
      <c r="F36" s="114"/>
      <c r="G36" s="114"/>
      <c r="H36" s="114"/>
      <c r="I36" s="114"/>
      <c r="J36" s="114"/>
      <c r="K36" s="114"/>
      <c r="L36" s="114"/>
      <c r="M36" s="114"/>
      <c r="N36" s="115"/>
      <c r="O36" s="116"/>
      <c r="P36" s="114"/>
      <c r="Q36" s="114"/>
      <c r="R36" s="114"/>
      <c r="S36" s="114"/>
      <c r="T36" s="114"/>
      <c r="U36" s="117"/>
      <c r="V36" s="117"/>
      <c r="W36" s="117"/>
      <c r="X36" s="114"/>
      <c r="Y36" s="114"/>
      <c r="Z36" s="114"/>
      <c r="AB36" s="110"/>
    </row>
    <row r="37" spans="1:28" s="131" customFormat="1" ht="12.75">
      <c r="A37" s="133">
        <f>SINTETICO_PAC_OBRA_3000!A93</f>
        <v>12000000</v>
      </c>
      <c r="B37" s="134" t="str">
        <f>SINTETICO_PAC_OBRA_3000!C93</f>
        <v>COBERTURA </v>
      </c>
      <c r="C37" s="135">
        <f>SINTETICO_PAC_OBRA_3000!G93*(1.2347)</f>
        <v>77861.86514303999</v>
      </c>
      <c r="D37" s="136">
        <f>C37/$C$82</f>
        <v>0.04401134587132104</v>
      </c>
      <c r="E37" s="122">
        <f>$C$44*F37%</f>
        <v>0</v>
      </c>
      <c r="F37" s="122">
        <v>0</v>
      </c>
      <c r="G37" s="122">
        <f>F37</f>
        <v>0</v>
      </c>
      <c r="H37" s="122">
        <f>$C$44*I37%</f>
        <v>0</v>
      </c>
      <c r="I37" s="122">
        <v>0</v>
      </c>
      <c r="J37" s="122">
        <f>I37+G37</f>
        <v>0</v>
      </c>
      <c r="K37" s="122">
        <f>C37*0.6</f>
        <v>46717.11908582399</v>
      </c>
      <c r="L37" s="122">
        <v>60</v>
      </c>
      <c r="M37" s="122">
        <f>L37+J37</f>
        <v>60</v>
      </c>
      <c r="N37" s="127">
        <f>A37</f>
        <v>12000000</v>
      </c>
      <c r="O37" s="128" t="str">
        <f>B37</f>
        <v>COBERTURA </v>
      </c>
      <c r="P37" s="122">
        <f>C37</f>
        <v>77861.86514303999</v>
      </c>
      <c r="Q37" s="129">
        <f>P37/$P$82</f>
        <v>0.04401134587132104</v>
      </c>
      <c r="R37" s="122">
        <f>0.4*C37</f>
        <v>31144.746057215998</v>
      </c>
      <c r="S37" s="122">
        <v>40</v>
      </c>
      <c r="T37" s="122">
        <f>S37+M37</f>
        <v>100</v>
      </c>
      <c r="U37" s="130">
        <f>$C$44*V37%</f>
        <v>0</v>
      </c>
      <c r="V37" s="130">
        <v>0</v>
      </c>
      <c r="W37" s="130">
        <f>V37+T37</f>
        <v>100</v>
      </c>
      <c r="X37" s="122">
        <f>$C$44*Y37%</f>
        <v>0</v>
      </c>
      <c r="Y37" s="122">
        <v>0</v>
      </c>
      <c r="Z37" s="122">
        <f>Y37+W37</f>
        <v>100</v>
      </c>
      <c r="AB37" s="132"/>
    </row>
    <row r="38" spans="1:28" s="109" customFormat="1" ht="12.75">
      <c r="A38" s="119"/>
      <c r="B38" s="111"/>
      <c r="C38" s="112"/>
      <c r="D38" s="113"/>
      <c r="E38" s="114"/>
      <c r="F38" s="114"/>
      <c r="G38" s="114"/>
      <c r="H38" s="114"/>
      <c r="I38" s="114"/>
      <c r="J38" s="114"/>
      <c r="K38" s="114"/>
      <c r="L38" s="114"/>
      <c r="M38" s="114"/>
      <c r="N38" s="115"/>
      <c r="O38" s="116"/>
      <c r="P38" s="114"/>
      <c r="Q38" s="114"/>
      <c r="R38" s="114"/>
      <c r="S38" s="114"/>
      <c r="T38" s="114"/>
      <c r="U38" s="117"/>
      <c r="V38" s="117"/>
      <c r="W38" s="117"/>
      <c r="X38" s="114"/>
      <c r="Y38" s="114"/>
      <c r="Z38" s="114"/>
      <c r="AB38" s="110"/>
    </row>
    <row r="39" spans="1:28" s="131" customFormat="1" ht="12.75">
      <c r="A39" s="133">
        <f>SINTETICO_PAC_OBRA_3000!A102</f>
        <v>13000000</v>
      </c>
      <c r="B39" s="134" t="str">
        <f>SINTETICO_PAC_OBRA_3000!C102</f>
        <v>IMPERMEABILIZAÇÃO </v>
      </c>
      <c r="C39" s="135">
        <f>SINTETICO_PAC_OBRA_3000!G102*(1.2347)</f>
        <v>3117.4841523999994</v>
      </c>
      <c r="D39" s="136">
        <f>C39/$C$82</f>
        <v>0.0017621549782756922</v>
      </c>
      <c r="E39" s="122">
        <f>$C$46*F39%</f>
        <v>0</v>
      </c>
      <c r="F39" s="122">
        <v>0</v>
      </c>
      <c r="G39" s="122">
        <f>F39</f>
        <v>0</v>
      </c>
      <c r="H39" s="122">
        <f>$C$46*I39%</f>
        <v>0</v>
      </c>
      <c r="I39" s="122">
        <v>0</v>
      </c>
      <c r="J39" s="122">
        <f>I39+G39</f>
        <v>0</v>
      </c>
      <c r="K39" s="122">
        <f>$C$46*L39%</f>
        <v>0</v>
      </c>
      <c r="L39" s="122">
        <v>0</v>
      </c>
      <c r="M39" s="122">
        <f>L39+J39</f>
        <v>0</v>
      </c>
      <c r="N39" s="127">
        <f>A39</f>
        <v>13000000</v>
      </c>
      <c r="O39" s="128" t="str">
        <f>B39</f>
        <v>IMPERMEABILIZAÇÃO </v>
      </c>
      <c r="P39" s="122">
        <f>C39</f>
        <v>3117.4841523999994</v>
      </c>
      <c r="Q39" s="129">
        <f>P39/$P$82</f>
        <v>0.0017621549782756922</v>
      </c>
      <c r="R39" s="122">
        <f>$C$46*S39%</f>
        <v>0</v>
      </c>
      <c r="S39" s="122">
        <v>0</v>
      </c>
      <c r="T39" s="122">
        <f>S39+M39</f>
        <v>0</v>
      </c>
      <c r="U39" s="130">
        <f>0.5*C39</f>
        <v>1558.7420761999997</v>
      </c>
      <c r="V39" s="122">
        <v>50</v>
      </c>
      <c r="W39" s="122">
        <f>V39+T39</f>
        <v>50</v>
      </c>
      <c r="X39" s="122">
        <f>C39*0.5</f>
        <v>1558.7420761999997</v>
      </c>
      <c r="Y39" s="122">
        <v>50</v>
      </c>
      <c r="Z39" s="122">
        <v>100</v>
      </c>
      <c r="AB39" s="132"/>
    </row>
    <row r="40" spans="1:28" s="109" customFormat="1" ht="12.75">
      <c r="A40" s="119"/>
      <c r="B40" s="111"/>
      <c r="C40" s="112"/>
      <c r="D40" s="113"/>
      <c r="E40" s="114"/>
      <c r="F40" s="114"/>
      <c r="G40" s="114"/>
      <c r="H40" s="114"/>
      <c r="I40" s="114"/>
      <c r="J40" s="114"/>
      <c r="K40" s="114"/>
      <c r="L40" s="114"/>
      <c r="M40" s="114"/>
      <c r="N40" s="115"/>
      <c r="O40" s="116"/>
      <c r="P40" s="114"/>
      <c r="Q40" s="114"/>
      <c r="R40" s="114"/>
      <c r="S40" s="114"/>
      <c r="T40" s="114"/>
      <c r="U40" s="117"/>
      <c r="V40" s="117"/>
      <c r="W40" s="117"/>
      <c r="X40" s="114"/>
      <c r="Y40" s="114"/>
      <c r="Z40" s="114"/>
      <c r="AB40" s="110"/>
    </row>
    <row r="41" spans="1:28" s="131" customFormat="1" ht="12.75">
      <c r="A41" s="133">
        <f>SINTETICO_PAC_OBRA_3000!A107</f>
        <v>14000000</v>
      </c>
      <c r="B41" s="134" t="str">
        <f>SINTETICO_PAC_OBRA_3000!C107</f>
        <v>REVESTIMENTO DE TETOS</v>
      </c>
      <c r="C41" s="135">
        <f>SINTETICO_PAC_OBRA_3000!G107*(1.2347)</f>
        <v>6132.899112960001</v>
      </c>
      <c r="D41" s="136">
        <f>C41/$C$82</f>
        <v>0.0034666154420849794</v>
      </c>
      <c r="E41" s="122">
        <f>$C$48*F41%</f>
        <v>0</v>
      </c>
      <c r="F41" s="122">
        <v>0</v>
      </c>
      <c r="G41" s="122">
        <f>F41</f>
        <v>0</v>
      </c>
      <c r="H41" s="122">
        <f>$C$48*I41%</f>
        <v>0</v>
      </c>
      <c r="I41" s="122">
        <v>0</v>
      </c>
      <c r="J41" s="122">
        <f>I41+G41</f>
        <v>0</v>
      </c>
      <c r="K41" s="122">
        <f>$C$48*L41%</f>
        <v>0</v>
      </c>
      <c r="L41" s="122">
        <v>0</v>
      </c>
      <c r="M41" s="122">
        <f>L41+J41</f>
        <v>0</v>
      </c>
      <c r="N41" s="127">
        <f>A41</f>
        <v>14000000</v>
      </c>
      <c r="O41" s="128" t="str">
        <f>B41</f>
        <v>REVESTIMENTO DE TETOS</v>
      </c>
      <c r="P41" s="122">
        <f>C41</f>
        <v>6132.899112960001</v>
      </c>
      <c r="Q41" s="129">
        <f>P41/$P$82</f>
        <v>0.0034666154420849794</v>
      </c>
      <c r="R41" s="122">
        <f>$C$48*S41%</f>
        <v>0</v>
      </c>
      <c r="S41" s="122">
        <v>0</v>
      </c>
      <c r="T41" s="122">
        <f>S41+M41</f>
        <v>0</v>
      </c>
      <c r="U41" s="130">
        <f>C41</f>
        <v>6132.899112960001</v>
      </c>
      <c r="V41" s="130">
        <v>100</v>
      </c>
      <c r="W41" s="130">
        <f>V41+T41</f>
        <v>100</v>
      </c>
      <c r="X41" s="122">
        <f>$C$48*Y41%</f>
        <v>0</v>
      </c>
      <c r="Y41" s="122">
        <v>0</v>
      </c>
      <c r="Z41" s="122">
        <f>Y41+W41</f>
        <v>100</v>
      </c>
      <c r="AB41" s="132"/>
    </row>
    <row r="42" spans="1:28" s="109" customFormat="1" ht="12.75">
      <c r="A42" s="119"/>
      <c r="B42" s="111"/>
      <c r="C42" s="112"/>
      <c r="D42" s="113"/>
      <c r="E42" s="114"/>
      <c r="F42" s="114"/>
      <c r="G42" s="114"/>
      <c r="H42" s="114"/>
      <c r="I42" s="114"/>
      <c r="J42" s="114"/>
      <c r="K42" s="114"/>
      <c r="L42" s="114"/>
      <c r="M42" s="114"/>
      <c r="N42" s="115"/>
      <c r="O42" s="116"/>
      <c r="P42" s="114"/>
      <c r="Q42" s="114"/>
      <c r="R42" s="114"/>
      <c r="S42" s="114"/>
      <c r="T42" s="114"/>
      <c r="U42" s="117"/>
      <c r="V42" s="117"/>
      <c r="W42" s="117"/>
      <c r="X42" s="114"/>
      <c r="Y42" s="114"/>
      <c r="Z42" s="114"/>
      <c r="AB42" s="110"/>
    </row>
    <row r="43" spans="1:28" s="131" customFormat="1" ht="12.75">
      <c r="A43" s="133">
        <f>SINTETICO_PAC_OBRA_3000!A109</f>
        <v>15000000</v>
      </c>
      <c r="B43" s="139" t="str">
        <f>SINTETICO_PAC_OBRA_3000!C109</f>
        <v>REVESTIMENTO DE PAREDES</v>
      </c>
      <c r="C43" s="135">
        <f>SINTETICO_PAC_OBRA_3000!G109*(1.2347)</f>
        <v>63419.47095984999</v>
      </c>
      <c r="D43" s="136">
        <f>C43/$C$82</f>
        <v>0.03584779617419247</v>
      </c>
      <c r="E43" s="122">
        <f>$C$50*F43%</f>
        <v>0</v>
      </c>
      <c r="F43" s="140">
        <v>0</v>
      </c>
      <c r="G43" s="122">
        <f>F43</f>
        <v>0</v>
      </c>
      <c r="H43" s="122">
        <f>$C$50*I43%</f>
        <v>0</v>
      </c>
      <c r="I43" s="140">
        <v>0</v>
      </c>
      <c r="J43" s="140">
        <f>I43+G43</f>
        <v>0</v>
      </c>
      <c r="K43" s="130">
        <f>0.5*C43</f>
        <v>31709.735479924995</v>
      </c>
      <c r="L43" s="141">
        <v>50</v>
      </c>
      <c r="M43" s="141">
        <f>L43+J43</f>
        <v>50</v>
      </c>
      <c r="N43" s="142">
        <f>A43</f>
        <v>15000000</v>
      </c>
      <c r="O43" s="143" t="str">
        <f>B43</f>
        <v>REVESTIMENTO DE PAREDES</v>
      </c>
      <c r="P43" s="141">
        <f>C43</f>
        <v>63419.47095984999</v>
      </c>
      <c r="Q43" s="129">
        <f>P43/$P$82</f>
        <v>0.03584779617419247</v>
      </c>
      <c r="R43" s="130">
        <f>0.5*C43</f>
        <v>31709.735479924995</v>
      </c>
      <c r="S43" s="141">
        <v>50</v>
      </c>
      <c r="T43" s="141">
        <f>S43+M43</f>
        <v>100</v>
      </c>
      <c r="U43" s="130">
        <f>$C$50*V43%</f>
        <v>0</v>
      </c>
      <c r="V43" s="141">
        <v>0</v>
      </c>
      <c r="W43" s="141">
        <f>V43+T43</f>
        <v>100</v>
      </c>
      <c r="X43" s="122">
        <f>$C$50*Y43%</f>
        <v>0</v>
      </c>
      <c r="Y43" s="140">
        <v>0</v>
      </c>
      <c r="Z43" s="140">
        <f>Y43+W43</f>
        <v>100</v>
      </c>
      <c r="AB43" s="132"/>
    </row>
    <row r="44" spans="1:28" s="109" customFormat="1" ht="12.75">
      <c r="A44" s="119"/>
      <c r="B44" s="111"/>
      <c r="C44" s="112"/>
      <c r="D44" s="113"/>
      <c r="E44" s="114"/>
      <c r="F44" s="114"/>
      <c r="G44" s="114"/>
      <c r="H44" s="114"/>
      <c r="I44" s="114"/>
      <c r="J44" s="114"/>
      <c r="K44" s="114"/>
      <c r="L44" s="114"/>
      <c r="M44" s="114"/>
      <c r="N44" s="115"/>
      <c r="O44" s="116"/>
      <c r="P44" s="114"/>
      <c r="Q44" s="114"/>
      <c r="R44" s="114"/>
      <c r="S44" s="114"/>
      <c r="T44" s="114"/>
      <c r="U44" s="117"/>
      <c r="V44" s="117"/>
      <c r="W44" s="117"/>
      <c r="X44" s="114"/>
      <c r="Y44" s="114"/>
      <c r="Z44" s="114"/>
      <c r="AB44" s="110"/>
    </row>
    <row r="45" spans="1:28" s="131" customFormat="1" ht="12.75">
      <c r="A45" s="133">
        <f>SINTETICO_PAC_OBRA_3000!A116</f>
        <v>16000000</v>
      </c>
      <c r="B45" s="134" t="str">
        <f>SINTETICO_PAC_OBRA_3000!C116</f>
        <v>REVESTIMENTO DE PISOS</v>
      </c>
      <c r="C45" s="135">
        <f>SINTETICO_PAC_OBRA_3000!G116*(1.2347)</f>
        <v>93136.21611385999</v>
      </c>
      <c r="D45" s="136">
        <f>C45/$C$82</f>
        <v>0.05264515835836752</v>
      </c>
      <c r="E45" s="122">
        <f>$C$52*F45%</f>
        <v>0</v>
      </c>
      <c r="F45" s="122">
        <v>0</v>
      </c>
      <c r="G45" s="122">
        <f>F45</f>
        <v>0</v>
      </c>
      <c r="H45" s="122">
        <f>C45*0.4</f>
        <v>37254.486445544</v>
      </c>
      <c r="I45" s="122">
        <v>40</v>
      </c>
      <c r="J45" s="122">
        <f>I45+G45</f>
        <v>40</v>
      </c>
      <c r="K45" s="122">
        <f>C45*0.6</f>
        <v>55881.729668315995</v>
      </c>
      <c r="L45" s="122">
        <v>60</v>
      </c>
      <c r="M45" s="122">
        <f>L45+J45</f>
        <v>100</v>
      </c>
      <c r="N45" s="127">
        <f>A45</f>
        <v>16000000</v>
      </c>
      <c r="O45" s="128" t="str">
        <f>B45</f>
        <v>REVESTIMENTO DE PISOS</v>
      </c>
      <c r="P45" s="122">
        <f>C45</f>
        <v>93136.21611385999</v>
      </c>
      <c r="Q45" s="129">
        <f>P45/$P$82</f>
        <v>0.05264515835836752</v>
      </c>
      <c r="R45" s="122">
        <f>$C$52*S45%</f>
        <v>0</v>
      </c>
      <c r="S45" s="122">
        <v>0</v>
      </c>
      <c r="T45" s="122">
        <f>S45+M45</f>
        <v>100</v>
      </c>
      <c r="U45" s="130">
        <f>$C$52*V45%</f>
        <v>0</v>
      </c>
      <c r="V45" s="130">
        <v>0</v>
      </c>
      <c r="W45" s="130">
        <f>V45+T45</f>
        <v>100</v>
      </c>
      <c r="X45" s="122">
        <f>$C$52*Y45%</f>
        <v>0</v>
      </c>
      <c r="Y45" s="122">
        <v>0</v>
      </c>
      <c r="Z45" s="122">
        <f>Y45+W45</f>
        <v>100</v>
      </c>
      <c r="AB45" s="132"/>
    </row>
    <row r="46" spans="1:28" s="109" customFormat="1" ht="12.75">
      <c r="A46" s="119"/>
      <c r="B46" s="111"/>
      <c r="C46" s="112"/>
      <c r="D46" s="113"/>
      <c r="E46" s="114"/>
      <c r="F46" s="114"/>
      <c r="G46" s="114"/>
      <c r="H46" s="114"/>
      <c r="I46" s="114"/>
      <c r="J46" s="114"/>
      <c r="K46" s="114"/>
      <c r="L46" s="114"/>
      <c r="M46" s="114"/>
      <c r="N46" s="115"/>
      <c r="O46" s="116"/>
      <c r="P46" s="114"/>
      <c r="Q46" s="114"/>
      <c r="R46" s="114"/>
      <c r="S46" s="114"/>
      <c r="T46" s="114"/>
      <c r="U46" s="117"/>
      <c r="V46" s="117"/>
      <c r="W46" s="117"/>
      <c r="X46" s="114"/>
      <c r="Y46" s="114"/>
      <c r="Z46" s="114"/>
      <c r="AB46" s="110"/>
    </row>
    <row r="47" spans="1:28" s="131" customFormat="1" ht="12.75">
      <c r="A47" s="133">
        <v>17000000</v>
      </c>
      <c r="B47" s="134" t="str">
        <f>SINTETICO_PAC_OBRA_3000!C126</f>
        <v>PAVIMENTAÇÃO EXTERNA</v>
      </c>
      <c r="C47" s="135">
        <f>SINTETICO_PAC_OBRA_3000!G126*(1.2347)</f>
        <v>131700.27770598998</v>
      </c>
      <c r="D47" s="136">
        <f>C47/$C$82</f>
        <v>0.07444345781877901</v>
      </c>
      <c r="E47" s="122">
        <f>$C$54*F47%</f>
        <v>0</v>
      </c>
      <c r="F47" s="122">
        <v>0</v>
      </c>
      <c r="G47" s="122">
        <f>F47</f>
        <v>0</v>
      </c>
      <c r="H47" s="122">
        <f>$C$54*I47%</f>
        <v>0</v>
      </c>
      <c r="I47" s="122">
        <v>0</v>
      </c>
      <c r="J47" s="122">
        <f>I47+G47</f>
        <v>0</v>
      </c>
      <c r="K47" s="122">
        <f>$C$54*L47%</f>
        <v>0</v>
      </c>
      <c r="L47" s="122">
        <v>0</v>
      </c>
      <c r="M47" s="122">
        <f>L47+J47</f>
        <v>0</v>
      </c>
      <c r="N47" s="127">
        <f>A47</f>
        <v>17000000</v>
      </c>
      <c r="O47" s="128" t="str">
        <f>B47</f>
        <v>PAVIMENTAÇÃO EXTERNA</v>
      </c>
      <c r="P47" s="122">
        <f>C47</f>
        <v>131700.27770598998</v>
      </c>
      <c r="Q47" s="129">
        <f>P47/$P$82</f>
        <v>0.07444345781877901</v>
      </c>
      <c r="R47" s="122">
        <f>$C$54*S47%</f>
        <v>0</v>
      </c>
      <c r="S47" s="122">
        <v>0</v>
      </c>
      <c r="T47" s="122">
        <f>S47+M47</f>
        <v>0</v>
      </c>
      <c r="U47" s="130">
        <f>0.6*C47</f>
        <v>79020.16662359399</v>
      </c>
      <c r="V47" s="130">
        <v>60</v>
      </c>
      <c r="W47" s="130">
        <f>V47+T47</f>
        <v>60</v>
      </c>
      <c r="X47" s="122">
        <f>0.4*C47</f>
        <v>52680.111082396</v>
      </c>
      <c r="Y47" s="122">
        <v>40</v>
      </c>
      <c r="Z47" s="122">
        <f>Y47+W47</f>
        <v>100</v>
      </c>
      <c r="AB47" s="132"/>
    </row>
    <row r="48" spans="1:28" s="109" customFormat="1" ht="12.75">
      <c r="A48" s="119"/>
      <c r="B48" s="111"/>
      <c r="C48" s="112"/>
      <c r="D48" s="113"/>
      <c r="E48" s="114"/>
      <c r="F48" s="114"/>
      <c r="G48" s="114"/>
      <c r="H48" s="114"/>
      <c r="I48" s="114"/>
      <c r="J48" s="114"/>
      <c r="K48" s="114"/>
      <c r="L48" s="114"/>
      <c r="M48" s="114"/>
      <c r="N48" s="115"/>
      <c r="O48" s="116"/>
      <c r="P48" s="114"/>
      <c r="Q48" s="114"/>
      <c r="R48" s="114"/>
      <c r="S48" s="114"/>
      <c r="T48" s="114"/>
      <c r="U48" s="117"/>
      <c r="V48" s="117"/>
      <c r="W48" s="117"/>
      <c r="X48" s="114"/>
      <c r="Y48" s="114"/>
      <c r="Z48" s="114"/>
      <c r="AB48" s="110"/>
    </row>
    <row r="49" spans="1:28" s="131" customFormat="1" ht="12.75">
      <c r="A49" s="133">
        <f>SINTETICO_PAC_OBRA_3000!A136</f>
        <v>18000000</v>
      </c>
      <c r="B49" s="134" t="str">
        <f>SINTETICO_PAC_OBRA_3000!C136</f>
        <v>PISTA DE SKATE</v>
      </c>
      <c r="C49" s="135">
        <f>SINTETICO_PAC_OBRA_3000!G136*(1.2347)</f>
        <v>42467.187700459996</v>
      </c>
      <c r="D49" s="136">
        <f>C49/$C$82</f>
        <v>0.024004537813647888</v>
      </c>
      <c r="E49" s="122">
        <f>$C$56*F49%</f>
        <v>0</v>
      </c>
      <c r="F49" s="122">
        <v>0</v>
      </c>
      <c r="G49" s="122">
        <f>F49</f>
        <v>0</v>
      </c>
      <c r="H49" s="122">
        <f>0.2*C49</f>
        <v>8493.437540092</v>
      </c>
      <c r="I49" s="122">
        <v>20</v>
      </c>
      <c r="J49" s="122">
        <f>I49+G49</f>
        <v>20</v>
      </c>
      <c r="K49" s="122">
        <f>0.2*C49</f>
        <v>8493.437540092</v>
      </c>
      <c r="L49" s="122">
        <v>20</v>
      </c>
      <c r="M49" s="122">
        <f>L49+J49</f>
        <v>40</v>
      </c>
      <c r="N49" s="127">
        <f>A49</f>
        <v>18000000</v>
      </c>
      <c r="O49" s="128" t="str">
        <f>B49</f>
        <v>PISTA DE SKATE</v>
      </c>
      <c r="P49" s="122">
        <f>C49</f>
        <v>42467.187700459996</v>
      </c>
      <c r="Q49" s="129">
        <f>P49/$P$82</f>
        <v>0.024004537813647888</v>
      </c>
      <c r="R49" s="122">
        <f>0.4*C49</f>
        <v>16986.875080184</v>
      </c>
      <c r="S49" s="122">
        <v>40</v>
      </c>
      <c r="T49" s="122">
        <f>S49+M49</f>
        <v>80</v>
      </c>
      <c r="U49" s="130">
        <f>0.2*C49</f>
        <v>8493.437540092</v>
      </c>
      <c r="V49" s="130">
        <v>20</v>
      </c>
      <c r="W49" s="130">
        <f>V49+T49</f>
        <v>100</v>
      </c>
      <c r="X49" s="122">
        <f>$C$56*Y49%</f>
        <v>0</v>
      </c>
      <c r="Y49" s="122">
        <v>0</v>
      </c>
      <c r="Z49" s="122">
        <f>Y49+W49</f>
        <v>100</v>
      </c>
      <c r="AB49" s="132"/>
    </row>
    <row r="50" spans="1:28" s="109" customFormat="1" ht="12.75">
      <c r="A50" s="119"/>
      <c r="B50" s="111"/>
      <c r="C50" s="112"/>
      <c r="D50" s="113"/>
      <c r="E50" s="114"/>
      <c r="F50" s="114"/>
      <c r="G50" s="114"/>
      <c r="H50" s="114"/>
      <c r="I50" s="114"/>
      <c r="J50" s="114"/>
      <c r="K50" s="114"/>
      <c r="L50" s="114"/>
      <c r="M50" s="114"/>
      <c r="N50" s="115"/>
      <c r="O50" s="116"/>
      <c r="P50" s="114"/>
      <c r="Q50" s="114"/>
      <c r="R50" s="114"/>
      <c r="S50" s="114"/>
      <c r="T50" s="114"/>
      <c r="U50" s="117"/>
      <c r="V50" s="117"/>
      <c r="W50" s="117"/>
      <c r="X50" s="114"/>
      <c r="Y50" s="114"/>
      <c r="Z50" s="114"/>
      <c r="AB50" s="110"/>
    </row>
    <row r="51" spans="1:28" s="131" customFormat="1" ht="12.75">
      <c r="A51" s="133">
        <f>SINTETICO_PAC_OBRA_3000!A151</f>
        <v>19000000</v>
      </c>
      <c r="B51" s="134" t="str">
        <f>SINTETICO_PAC_OBRA_3000!C151</f>
        <v>AGUA FRIA</v>
      </c>
      <c r="C51" s="135">
        <f>SINTETICO_PAC_OBRA_3000!G151*(1.2347)</f>
        <v>6072.103225779999</v>
      </c>
      <c r="D51" s="136">
        <f>C51/$C$82</f>
        <v>0.00343225062416908</v>
      </c>
      <c r="E51" s="122">
        <f>$C$58*F51%</f>
        <v>0</v>
      </c>
      <c r="F51" s="122">
        <v>0</v>
      </c>
      <c r="G51" s="122">
        <f>F51</f>
        <v>0</v>
      </c>
      <c r="H51" s="122">
        <f>0.2*C51</f>
        <v>1214.4206451559999</v>
      </c>
      <c r="I51" s="122">
        <v>20</v>
      </c>
      <c r="J51" s="122">
        <f>I51+G51</f>
        <v>20</v>
      </c>
      <c r="K51" s="122">
        <f>0.2*C51</f>
        <v>1214.4206451559999</v>
      </c>
      <c r="L51" s="122">
        <v>20</v>
      </c>
      <c r="M51" s="122">
        <f>L51+J51</f>
        <v>40</v>
      </c>
      <c r="N51" s="127">
        <f>A51</f>
        <v>19000000</v>
      </c>
      <c r="O51" s="128" t="str">
        <f>B51</f>
        <v>AGUA FRIA</v>
      </c>
      <c r="P51" s="122">
        <f>C51</f>
        <v>6072.103225779999</v>
      </c>
      <c r="Q51" s="129">
        <f>P51/$P$82</f>
        <v>0.00343225062416908</v>
      </c>
      <c r="R51" s="122">
        <f>0.4*C51</f>
        <v>2428.8412903119997</v>
      </c>
      <c r="S51" s="122">
        <v>40</v>
      </c>
      <c r="T51" s="122">
        <f>S51+M51</f>
        <v>80</v>
      </c>
      <c r="U51" s="130">
        <f>0.2*C51</f>
        <v>1214.4206451559999</v>
      </c>
      <c r="V51" s="130">
        <v>20</v>
      </c>
      <c r="W51" s="130">
        <f>V51+T51</f>
        <v>100</v>
      </c>
      <c r="X51" s="122">
        <f>$C$58*Y51%</f>
        <v>0</v>
      </c>
      <c r="Y51" s="122">
        <v>0</v>
      </c>
      <c r="Z51" s="122">
        <f>Y51+W51</f>
        <v>100</v>
      </c>
      <c r="AB51" s="132"/>
    </row>
    <row r="52" spans="1:28" s="109" customFormat="1" ht="12.75">
      <c r="A52" s="119"/>
      <c r="B52" s="111"/>
      <c r="C52" s="112"/>
      <c r="D52" s="113"/>
      <c r="E52" s="114"/>
      <c r="F52" s="114"/>
      <c r="G52" s="114"/>
      <c r="H52" s="114"/>
      <c r="I52" s="114"/>
      <c r="J52" s="114"/>
      <c r="K52" s="114"/>
      <c r="L52" s="114"/>
      <c r="M52" s="114"/>
      <c r="N52" s="115"/>
      <c r="O52" s="116"/>
      <c r="P52" s="114"/>
      <c r="Q52" s="114"/>
      <c r="R52" s="114"/>
      <c r="S52" s="114"/>
      <c r="T52" s="114"/>
      <c r="U52" s="117"/>
      <c r="V52" s="117"/>
      <c r="W52" s="117"/>
      <c r="X52" s="114"/>
      <c r="Y52" s="114"/>
      <c r="Z52" s="114"/>
      <c r="AB52" s="110"/>
    </row>
    <row r="53" spans="1:28" s="131" customFormat="1" ht="12.75">
      <c r="A53" s="133">
        <f>SINTETICO_PAC_OBRA_3000!A193</f>
        <v>20000000</v>
      </c>
      <c r="B53" s="144" t="str">
        <f>SINTETICO_PAC_OBRA_3000!C193</f>
        <v>PLUVIAL - PVC ESGOTO</v>
      </c>
      <c r="C53" s="135">
        <f>SINTETICO_PAC_OBRA_3000!G193*(1.2347)</f>
        <v>9292.214777889998</v>
      </c>
      <c r="D53" s="136">
        <f>C53/$C$82</f>
        <v>0.00525241564338347</v>
      </c>
      <c r="E53" s="122">
        <f>$C$60*F53%</f>
        <v>0</v>
      </c>
      <c r="F53" s="122">
        <v>0</v>
      </c>
      <c r="G53" s="122">
        <f>F53</f>
        <v>0</v>
      </c>
      <c r="H53" s="122">
        <f>$C$60*I53%</f>
        <v>0</v>
      </c>
      <c r="I53" s="122"/>
      <c r="J53" s="122">
        <f>I53+G53</f>
        <v>0</v>
      </c>
      <c r="K53" s="122">
        <f>$C$60*L53%</f>
        <v>0</v>
      </c>
      <c r="L53" s="122"/>
      <c r="M53" s="122">
        <f>L53+J53</f>
        <v>0</v>
      </c>
      <c r="N53" s="127">
        <f>A53</f>
        <v>20000000</v>
      </c>
      <c r="O53" s="128" t="str">
        <f>B53</f>
        <v>PLUVIAL - PVC ESGOTO</v>
      </c>
      <c r="P53" s="122">
        <f>C53</f>
        <v>9292.214777889998</v>
      </c>
      <c r="Q53" s="129">
        <f>P53/$P$82</f>
        <v>0.00525241564338347</v>
      </c>
      <c r="R53" s="122">
        <f>$C$60*S53%</f>
        <v>0</v>
      </c>
      <c r="S53" s="122">
        <v>0</v>
      </c>
      <c r="T53" s="122">
        <f>S53+M53</f>
        <v>0</v>
      </c>
      <c r="U53" s="130">
        <f>C53</f>
        <v>9292.214777889998</v>
      </c>
      <c r="V53" s="130">
        <v>100</v>
      </c>
      <c r="W53" s="130">
        <f>V53+T53</f>
        <v>100</v>
      </c>
      <c r="X53" s="122">
        <f>$C$60*Y53%</f>
        <v>0</v>
      </c>
      <c r="Y53" s="122">
        <v>0</v>
      </c>
      <c r="Z53" s="122">
        <f>Y53+W53</f>
        <v>100</v>
      </c>
      <c r="AB53" s="132"/>
    </row>
    <row r="54" spans="1:28" s="109" customFormat="1" ht="12.75">
      <c r="A54" s="119"/>
      <c r="B54" s="120"/>
      <c r="C54" s="112"/>
      <c r="D54" s="119"/>
      <c r="E54" s="114"/>
      <c r="F54" s="114"/>
      <c r="G54" s="114"/>
      <c r="H54" s="114"/>
      <c r="I54" s="114"/>
      <c r="J54" s="114"/>
      <c r="K54" s="114"/>
      <c r="L54" s="114"/>
      <c r="M54" s="114"/>
      <c r="N54" s="115"/>
      <c r="O54" s="116"/>
      <c r="P54" s="114"/>
      <c r="Q54" s="114"/>
      <c r="R54" s="114"/>
      <c r="S54" s="114"/>
      <c r="T54" s="114"/>
      <c r="U54" s="117"/>
      <c r="V54" s="117"/>
      <c r="W54" s="117"/>
      <c r="X54" s="114"/>
      <c r="Y54" s="114"/>
      <c r="Z54" s="114"/>
      <c r="AB54" s="110"/>
    </row>
    <row r="55" spans="1:28" s="131" customFormat="1" ht="12.75">
      <c r="A55" s="133">
        <f>SINTETICO_PAC_OBRA_3000!A219</f>
        <v>21000000</v>
      </c>
      <c r="B55" s="144" t="str">
        <f>SINTETICO_PAC_OBRA_3000!C219</f>
        <v>VENTILAÇÃO </v>
      </c>
      <c r="C55" s="135">
        <f>SINTETICO_PAC_OBRA_3000!G219*(1.2347)</f>
        <v>2289.93450295</v>
      </c>
      <c r="D55" s="136">
        <f>C55/$C$82</f>
        <v>0.0012943833190594074</v>
      </c>
      <c r="E55" s="122">
        <f>$C$62*F55%</f>
        <v>0</v>
      </c>
      <c r="F55" s="122">
        <v>0</v>
      </c>
      <c r="G55" s="122">
        <f>F55</f>
        <v>0</v>
      </c>
      <c r="H55" s="122">
        <f>$C$62*I55%</f>
        <v>0</v>
      </c>
      <c r="I55" s="122">
        <v>0</v>
      </c>
      <c r="J55" s="122">
        <f>I55+G55</f>
        <v>0</v>
      </c>
      <c r="K55" s="122">
        <f>$C$62*L55%</f>
        <v>0</v>
      </c>
      <c r="L55" s="122">
        <v>0</v>
      </c>
      <c r="M55" s="122">
        <f>L55+J55</f>
        <v>0</v>
      </c>
      <c r="N55" s="127">
        <f>A55</f>
        <v>21000000</v>
      </c>
      <c r="O55" s="128" t="str">
        <f>B55</f>
        <v>VENTILAÇÃO </v>
      </c>
      <c r="P55" s="122">
        <f>C55</f>
        <v>2289.93450295</v>
      </c>
      <c r="Q55" s="129">
        <f>P55/$P$82</f>
        <v>0.0012943833190594074</v>
      </c>
      <c r="R55" s="122">
        <f>$C$62*S55%</f>
        <v>0</v>
      </c>
      <c r="S55" s="122">
        <v>0</v>
      </c>
      <c r="T55" s="122">
        <f>S55+M55</f>
        <v>0</v>
      </c>
      <c r="U55" s="130">
        <f>$C$62*V55%</f>
        <v>0</v>
      </c>
      <c r="V55" s="130">
        <v>0</v>
      </c>
      <c r="W55" s="130">
        <f>V55+T55</f>
        <v>0</v>
      </c>
      <c r="X55" s="122">
        <f>C55</f>
        <v>2289.93450295</v>
      </c>
      <c r="Y55" s="122">
        <v>100</v>
      </c>
      <c r="Z55" s="122">
        <f>Y55+W55</f>
        <v>100</v>
      </c>
      <c r="AB55" s="132"/>
    </row>
    <row r="56" spans="1:28" s="109" customFormat="1" ht="12.75">
      <c r="A56" s="119"/>
      <c r="B56" s="120"/>
      <c r="C56" s="112"/>
      <c r="D56" s="119"/>
      <c r="E56" s="114"/>
      <c r="F56" s="114"/>
      <c r="G56" s="114"/>
      <c r="H56" s="114"/>
      <c r="I56" s="114"/>
      <c r="J56" s="114"/>
      <c r="K56" s="114"/>
      <c r="L56" s="114"/>
      <c r="M56" s="114"/>
      <c r="N56" s="115"/>
      <c r="O56" s="116"/>
      <c r="P56" s="114"/>
      <c r="Q56" s="114"/>
      <c r="R56" s="114"/>
      <c r="S56" s="114"/>
      <c r="T56" s="114"/>
      <c r="U56" s="117"/>
      <c r="V56" s="117"/>
      <c r="W56" s="117"/>
      <c r="X56" s="114"/>
      <c r="Y56" s="114"/>
      <c r="Z56" s="114"/>
      <c r="AB56" s="110"/>
    </row>
    <row r="57" spans="1:28" s="131" customFormat="1" ht="12.75">
      <c r="A57" s="133">
        <f>SINTETICO_PAC_OBRA_3000!A228</f>
        <v>22000000</v>
      </c>
      <c r="B57" s="134" t="str">
        <f>SINTETICO_PAC_OBRA_3000!C228</f>
        <v>INCENDIO </v>
      </c>
      <c r="C57" s="135">
        <f>SINTETICO_PAC_OBRA_3000!G228*(1.2347)</f>
        <v>1690.7364449999998</v>
      </c>
      <c r="D57" s="136">
        <f>C57/$C$82</f>
        <v>0.0009556871816702731</v>
      </c>
      <c r="E57" s="122">
        <f>$C$64*F57%</f>
        <v>0</v>
      </c>
      <c r="F57" s="122">
        <v>0</v>
      </c>
      <c r="G57" s="122">
        <f>F57</f>
        <v>0</v>
      </c>
      <c r="H57" s="122">
        <f>$C$64*I57%</f>
        <v>0</v>
      </c>
      <c r="I57" s="122">
        <v>0</v>
      </c>
      <c r="J57" s="122">
        <f>I57+G57</f>
        <v>0</v>
      </c>
      <c r="K57" s="122">
        <f>0.2*C57</f>
        <v>338.147289</v>
      </c>
      <c r="L57" s="122">
        <v>20</v>
      </c>
      <c r="M57" s="122">
        <v>20</v>
      </c>
      <c r="N57" s="127">
        <f>A57</f>
        <v>22000000</v>
      </c>
      <c r="O57" s="128" t="str">
        <f>B57</f>
        <v>INCENDIO </v>
      </c>
      <c r="P57" s="122">
        <f>C57</f>
        <v>1690.7364449999998</v>
      </c>
      <c r="Q57" s="129">
        <f>P57/$P$82</f>
        <v>0.0009556871816702731</v>
      </c>
      <c r="R57" s="122">
        <f>$C$64*S57%</f>
        <v>0</v>
      </c>
      <c r="S57" s="122">
        <v>0</v>
      </c>
      <c r="T57" s="122">
        <v>20</v>
      </c>
      <c r="U57" s="130">
        <f>$C$64*V57%</f>
        <v>0</v>
      </c>
      <c r="V57" s="130">
        <v>0</v>
      </c>
      <c r="W57" s="130">
        <v>20</v>
      </c>
      <c r="X57" s="122">
        <f>0.8*C57</f>
        <v>1352.589156</v>
      </c>
      <c r="Y57" s="122">
        <v>80</v>
      </c>
      <c r="Z57" s="122">
        <v>100</v>
      </c>
      <c r="AB57" s="132"/>
    </row>
    <row r="58" spans="1:28" s="109" customFormat="1" ht="12.75">
      <c r="A58" s="119"/>
      <c r="B58" s="120"/>
      <c r="C58" s="112"/>
      <c r="D58" s="119"/>
      <c r="E58" s="114"/>
      <c r="F58" s="114"/>
      <c r="G58" s="114"/>
      <c r="H58" s="114"/>
      <c r="I58" s="114"/>
      <c r="J58" s="114"/>
      <c r="K58" s="114"/>
      <c r="L58" s="114"/>
      <c r="M58" s="114"/>
      <c r="N58" s="115"/>
      <c r="O58" s="116"/>
      <c r="P58" s="114"/>
      <c r="Q58" s="114"/>
      <c r="R58" s="114"/>
      <c r="S58" s="114"/>
      <c r="T58" s="114"/>
      <c r="U58" s="117"/>
      <c r="V58" s="117"/>
      <c r="W58" s="117"/>
      <c r="X58" s="114"/>
      <c r="Y58" s="114"/>
      <c r="Z58" s="114"/>
      <c r="AB58" s="110"/>
    </row>
    <row r="59" spans="1:28" s="131" customFormat="1" ht="12.75">
      <c r="A59" s="133">
        <f>SINTETICO_PAC_OBRA_3000!A233</f>
        <v>23000000</v>
      </c>
      <c r="B59" s="144" t="str">
        <f>SINTETICO_PAC_OBRA_3000!C233</f>
        <v>LOUÇAS E METAIS </v>
      </c>
      <c r="C59" s="135">
        <f>SINTETICO_PAC_OBRA_3000!G233*(1.2347)</f>
        <v>10616.101233399999</v>
      </c>
      <c r="D59" s="136">
        <f>C59/$C$82</f>
        <v>0.0060007412143259</v>
      </c>
      <c r="E59" s="122">
        <f>$C$66*F59%</f>
        <v>0</v>
      </c>
      <c r="F59" s="122">
        <v>0</v>
      </c>
      <c r="G59" s="122">
        <f>F59</f>
        <v>0</v>
      </c>
      <c r="H59" s="122">
        <f>$C$66*I59%</f>
        <v>0</v>
      </c>
      <c r="I59" s="122">
        <v>0</v>
      </c>
      <c r="J59" s="122">
        <f>I59+G59</f>
        <v>0</v>
      </c>
      <c r="K59" s="122">
        <f>$C$66*L59%</f>
        <v>0</v>
      </c>
      <c r="L59" s="122">
        <v>0</v>
      </c>
      <c r="M59" s="122">
        <f>L59+J59</f>
        <v>0</v>
      </c>
      <c r="N59" s="127">
        <f>A59</f>
        <v>23000000</v>
      </c>
      <c r="O59" s="128" t="str">
        <f>B59</f>
        <v>LOUÇAS E METAIS </v>
      </c>
      <c r="P59" s="122">
        <f>C59</f>
        <v>10616.101233399999</v>
      </c>
      <c r="Q59" s="129">
        <f>P59/$P$82</f>
        <v>0.0060007412143259</v>
      </c>
      <c r="R59" s="122">
        <f>$C$66*S59%</f>
        <v>0</v>
      </c>
      <c r="S59" s="122">
        <v>0</v>
      </c>
      <c r="T59" s="122">
        <f>S59+M59</f>
        <v>0</v>
      </c>
      <c r="U59" s="130">
        <f>0.5*C59</f>
        <v>5308.050616699999</v>
      </c>
      <c r="V59" s="130">
        <v>50</v>
      </c>
      <c r="W59" s="130">
        <f>V59+T59</f>
        <v>50</v>
      </c>
      <c r="X59" s="122">
        <f>0.5*C59</f>
        <v>5308.050616699999</v>
      </c>
      <c r="Y59" s="122">
        <v>50</v>
      </c>
      <c r="Z59" s="122">
        <f>Y59+W59</f>
        <v>100</v>
      </c>
      <c r="AB59" s="132"/>
    </row>
    <row r="60" spans="1:28" s="109" customFormat="1" ht="12.75">
      <c r="A60" s="119"/>
      <c r="B60" s="111"/>
      <c r="C60" s="112"/>
      <c r="D60" s="113"/>
      <c r="E60" s="114"/>
      <c r="F60" s="114"/>
      <c r="G60" s="114"/>
      <c r="H60" s="114"/>
      <c r="I60" s="114"/>
      <c r="J60" s="114"/>
      <c r="K60" s="114"/>
      <c r="L60" s="114"/>
      <c r="M60" s="114"/>
      <c r="N60" s="115"/>
      <c r="O60" s="116"/>
      <c r="P60" s="114"/>
      <c r="Q60" s="114"/>
      <c r="R60" s="114"/>
      <c r="S60" s="114"/>
      <c r="T60" s="114"/>
      <c r="U60" s="117"/>
      <c r="V60" s="117"/>
      <c r="W60" s="117"/>
      <c r="X60" s="114"/>
      <c r="Y60" s="114"/>
      <c r="Z60" s="114"/>
      <c r="AB60" s="110"/>
    </row>
    <row r="61" spans="1:28" s="131" customFormat="1" ht="12.75">
      <c r="A61" s="133">
        <f>SINTETICO_PAC_OBRA_3000!A250</f>
        <v>24000000</v>
      </c>
      <c r="B61" s="134" t="str">
        <f>SINTETICO_PAC_OBRA_3000!C250</f>
        <v>LUMINARIAS </v>
      </c>
      <c r="C61" s="135">
        <f>SINTETICO_PAC_OBRA_3000!G250*(1.2347)</f>
        <v>51451.12196499999</v>
      </c>
      <c r="D61" s="136">
        <f>C61/$C$82</f>
        <v>0.029082698187477902</v>
      </c>
      <c r="E61" s="122">
        <f>$C$68*F61%</f>
        <v>0</v>
      </c>
      <c r="F61" s="122">
        <v>0</v>
      </c>
      <c r="G61" s="122">
        <f>F61</f>
        <v>0</v>
      </c>
      <c r="H61" s="122">
        <f>0.2*C61</f>
        <v>10290.224392999999</v>
      </c>
      <c r="I61" s="122">
        <v>20</v>
      </c>
      <c r="J61" s="122">
        <f>I61+G61</f>
        <v>20</v>
      </c>
      <c r="K61" s="122">
        <f>0.2*C61</f>
        <v>10290.224392999999</v>
      </c>
      <c r="L61" s="122">
        <v>20</v>
      </c>
      <c r="M61" s="122">
        <f>L61+J61</f>
        <v>40</v>
      </c>
      <c r="N61" s="127">
        <f>A61</f>
        <v>24000000</v>
      </c>
      <c r="O61" s="128" t="str">
        <f>B61</f>
        <v>LUMINARIAS </v>
      </c>
      <c r="P61" s="122">
        <f>C61</f>
        <v>51451.12196499999</v>
      </c>
      <c r="Q61" s="129">
        <f>P61/$P$82</f>
        <v>0.029082698187477902</v>
      </c>
      <c r="R61" s="122">
        <f>0.2*C61</f>
        <v>10290.224392999999</v>
      </c>
      <c r="S61" s="122">
        <v>20</v>
      </c>
      <c r="T61" s="122">
        <f>S61+M61</f>
        <v>60</v>
      </c>
      <c r="U61" s="130">
        <f>0.2*C61</f>
        <v>10290.224392999999</v>
      </c>
      <c r="V61" s="130">
        <v>20</v>
      </c>
      <c r="W61" s="130">
        <f>V61+T61</f>
        <v>80</v>
      </c>
      <c r="X61" s="122">
        <f>0.2*C61</f>
        <v>10290.224392999999</v>
      </c>
      <c r="Y61" s="122">
        <v>20</v>
      </c>
      <c r="Z61" s="122">
        <f>Y61+W61</f>
        <v>100</v>
      </c>
      <c r="AB61" s="132"/>
    </row>
    <row r="62" spans="1:28" s="109" customFormat="1" ht="12.75">
      <c r="A62" s="119"/>
      <c r="B62" s="111"/>
      <c r="C62" s="112"/>
      <c r="D62" s="113"/>
      <c r="E62" s="114"/>
      <c r="F62" s="114"/>
      <c r="G62" s="114"/>
      <c r="H62" s="114"/>
      <c r="I62" s="114"/>
      <c r="J62" s="114"/>
      <c r="K62" s="114"/>
      <c r="L62" s="114"/>
      <c r="M62" s="114"/>
      <c r="N62" s="115"/>
      <c r="O62" s="116"/>
      <c r="P62" s="114"/>
      <c r="Q62" s="114"/>
      <c r="R62" s="114"/>
      <c r="S62" s="114"/>
      <c r="T62" s="114"/>
      <c r="U62" s="117"/>
      <c r="V62" s="117"/>
      <c r="W62" s="117"/>
      <c r="X62" s="114"/>
      <c r="Y62" s="114"/>
      <c r="Z62" s="114"/>
      <c r="AB62" s="110"/>
    </row>
    <row r="63" spans="1:28" s="131" customFormat="1" ht="12.75">
      <c r="A63" s="133">
        <f>SINTETICO_PAC_OBRA_3000!A255</f>
        <v>25000000</v>
      </c>
      <c r="B63" s="134" t="str">
        <f>SINTETICO_PAC_OBRA_3000!C255</f>
        <v>ELÉTRICA </v>
      </c>
      <c r="C63" s="135">
        <f>SINTETICO_PAC_OBRA_3000!G255*(1.2347)</f>
        <v>59316.876226709996</v>
      </c>
      <c r="D63" s="136">
        <f>C63/$C$82</f>
        <v>0.03352880836882232</v>
      </c>
      <c r="E63" s="122">
        <f>$C$70*F63%</f>
        <v>0</v>
      </c>
      <c r="F63" s="122">
        <v>0</v>
      </c>
      <c r="G63" s="122">
        <f>F63</f>
        <v>0</v>
      </c>
      <c r="H63" s="122">
        <f>$C$70*I63%</f>
        <v>0</v>
      </c>
      <c r="I63" s="122">
        <v>0</v>
      </c>
      <c r="J63" s="122">
        <f>I63+G63</f>
        <v>0</v>
      </c>
      <c r="K63" s="122">
        <f>0.2*C63</f>
        <v>11863.375245342</v>
      </c>
      <c r="L63" s="122">
        <v>20</v>
      </c>
      <c r="M63" s="122">
        <f>L63+J63</f>
        <v>20</v>
      </c>
      <c r="N63" s="127">
        <f>A63</f>
        <v>25000000</v>
      </c>
      <c r="O63" s="128" t="str">
        <f>B63</f>
        <v>ELÉTRICA </v>
      </c>
      <c r="P63" s="122">
        <f>C63</f>
        <v>59316.876226709996</v>
      </c>
      <c r="Q63" s="129">
        <f>P63/$P$82</f>
        <v>0.03352880836882232</v>
      </c>
      <c r="R63" s="122">
        <f>0.4*C63</f>
        <v>23726.750490684</v>
      </c>
      <c r="S63" s="122">
        <v>40</v>
      </c>
      <c r="T63" s="122">
        <f>S63+M63</f>
        <v>60</v>
      </c>
      <c r="U63" s="130">
        <f>0.4*C63</f>
        <v>23726.750490684</v>
      </c>
      <c r="V63" s="130">
        <v>40</v>
      </c>
      <c r="W63" s="130">
        <f>V63+T63</f>
        <v>100</v>
      </c>
      <c r="X63" s="122">
        <f>$C$70*Y63%</f>
        <v>0</v>
      </c>
      <c r="Y63" s="122">
        <v>0</v>
      </c>
      <c r="Z63" s="122">
        <f>Y63+W63</f>
        <v>100</v>
      </c>
      <c r="AB63" s="132"/>
    </row>
    <row r="64" spans="1:28" s="109" customFormat="1" ht="12.75">
      <c r="A64" s="119"/>
      <c r="B64" s="111"/>
      <c r="C64" s="112"/>
      <c r="D64" s="113"/>
      <c r="E64" s="114"/>
      <c r="F64" s="114"/>
      <c r="G64" s="114"/>
      <c r="H64" s="114"/>
      <c r="I64" s="114"/>
      <c r="J64" s="114"/>
      <c r="K64" s="114"/>
      <c r="L64" s="114"/>
      <c r="M64" s="114"/>
      <c r="N64" s="115"/>
      <c r="O64" s="116"/>
      <c r="P64" s="114"/>
      <c r="Q64" s="114"/>
      <c r="R64" s="114"/>
      <c r="S64" s="114"/>
      <c r="T64" s="114"/>
      <c r="U64" s="117"/>
      <c r="V64" s="117"/>
      <c r="W64" s="117"/>
      <c r="X64" s="114"/>
      <c r="Y64" s="114"/>
      <c r="Z64" s="114"/>
      <c r="AB64" s="110"/>
    </row>
    <row r="65" spans="1:28" s="131" customFormat="1" ht="12.75">
      <c r="A65" s="133">
        <f>SINTETICO_PAC_OBRA_3000!A318</f>
        <v>26000000</v>
      </c>
      <c r="B65" s="134" t="str">
        <f>SINTETICO_PAC_OBRA_3000!C318</f>
        <v>ELÉTRICA – PE-SPDA-PEC </v>
      </c>
      <c r="C65" s="135">
        <f>SINTETICO_PAC_OBRA_3000!G318*(1.2347)</f>
        <v>19074.213561999997</v>
      </c>
      <c r="D65" s="136">
        <f>C65/$C$82</f>
        <v>0.010781681234560884</v>
      </c>
      <c r="E65" s="122">
        <f>$C$72*F65%</f>
        <v>0</v>
      </c>
      <c r="F65" s="122">
        <v>0</v>
      </c>
      <c r="G65" s="122">
        <f>F65</f>
        <v>0</v>
      </c>
      <c r="H65" s="122">
        <f>$C$72*I65%</f>
        <v>0</v>
      </c>
      <c r="I65" s="122">
        <v>0</v>
      </c>
      <c r="J65" s="122">
        <f>I65+G65</f>
        <v>0</v>
      </c>
      <c r="K65" s="122">
        <f>0.2*C65</f>
        <v>3814.8427123999995</v>
      </c>
      <c r="L65" s="122">
        <v>20</v>
      </c>
      <c r="M65" s="122">
        <f>L65+J65</f>
        <v>20</v>
      </c>
      <c r="N65" s="127">
        <f>A65</f>
        <v>26000000</v>
      </c>
      <c r="O65" s="128" t="str">
        <f>B65</f>
        <v>ELÉTRICA – PE-SPDA-PEC </v>
      </c>
      <c r="P65" s="122">
        <f>C65</f>
        <v>19074.213561999997</v>
      </c>
      <c r="Q65" s="129">
        <f>P65/$P$82</f>
        <v>0.010781681234560884</v>
      </c>
      <c r="R65" s="122">
        <f>0.4*C65</f>
        <v>7629.685424799999</v>
      </c>
      <c r="S65" s="122">
        <v>40</v>
      </c>
      <c r="T65" s="122">
        <f>S65+M65</f>
        <v>60</v>
      </c>
      <c r="U65" s="130">
        <f>0.4*C65</f>
        <v>7629.685424799999</v>
      </c>
      <c r="V65" s="130">
        <v>40</v>
      </c>
      <c r="W65" s="130">
        <f>V65+T65</f>
        <v>100</v>
      </c>
      <c r="X65" s="122">
        <f>$C$72*Y65%</f>
        <v>0</v>
      </c>
      <c r="Y65" s="122">
        <v>0</v>
      </c>
      <c r="Z65" s="122">
        <f>Y65+W65</f>
        <v>100</v>
      </c>
      <c r="AB65" s="132"/>
    </row>
    <row r="66" spans="1:28" s="109" customFormat="1" ht="12.75">
      <c r="A66" s="119"/>
      <c r="B66" s="111"/>
      <c r="C66" s="112"/>
      <c r="D66" s="113"/>
      <c r="E66" s="114"/>
      <c r="F66" s="114"/>
      <c r="G66" s="114"/>
      <c r="H66" s="114"/>
      <c r="I66" s="114"/>
      <c r="J66" s="114"/>
      <c r="K66" s="114"/>
      <c r="L66" s="114"/>
      <c r="M66" s="114"/>
      <c r="N66" s="115"/>
      <c r="O66" s="116"/>
      <c r="P66" s="114"/>
      <c r="Q66" s="114"/>
      <c r="R66" s="114"/>
      <c r="S66" s="114"/>
      <c r="T66" s="114"/>
      <c r="U66" s="117"/>
      <c r="V66" s="117"/>
      <c r="W66" s="117"/>
      <c r="X66" s="114"/>
      <c r="Y66" s="114"/>
      <c r="Z66" s="114"/>
      <c r="AB66" s="110"/>
    </row>
    <row r="67" spans="1:28" s="131" customFormat="1" ht="25.5">
      <c r="A67" s="133">
        <f>SINTETICO_PAC_OBRA_3000!A327</f>
        <v>27000000</v>
      </c>
      <c r="B67" s="134" t="str">
        <f>SINTETICO_PAC_OBRA_3000!C327</f>
        <v>ELETRICA - PE-SDAI-ADM (SISTEMA DE DETECÇÃO ALARME E INCENDIO) </v>
      </c>
      <c r="C67" s="135">
        <f>SINTETICO_PAC_OBRA_3000!G327*(1.2347)</f>
        <v>13837.807030149997</v>
      </c>
      <c r="D67" s="136">
        <f>C67/$C$82</f>
        <v>0.007821807378820147</v>
      </c>
      <c r="E67" s="122">
        <f>$C$74*F67%</f>
        <v>0</v>
      </c>
      <c r="F67" s="122">
        <v>0</v>
      </c>
      <c r="G67" s="122">
        <f>F67</f>
        <v>0</v>
      </c>
      <c r="H67" s="122">
        <f>$C$74*I67%</f>
        <v>0</v>
      </c>
      <c r="I67" s="122">
        <v>0</v>
      </c>
      <c r="J67" s="122">
        <f>I67+G67</f>
        <v>0</v>
      </c>
      <c r="K67" s="122">
        <f>0.2*C67</f>
        <v>2767.5614060299995</v>
      </c>
      <c r="L67" s="122">
        <v>20</v>
      </c>
      <c r="M67" s="122">
        <f>L67+J67</f>
        <v>20</v>
      </c>
      <c r="N67" s="127">
        <f>A67</f>
        <v>27000000</v>
      </c>
      <c r="O67" s="128" t="str">
        <f>B67</f>
        <v>ELETRICA - PE-SDAI-ADM (SISTEMA DE DETECÇÃO ALARME E INCENDIO) </v>
      </c>
      <c r="P67" s="122">
        <f>C67</f>
        <v>13837.807030149997</v>
      </c>
      <c r="Q67" s="129">
        <f>P67/$P$82</f>
        <v>0.007821807378820147</v>
      </c>
      <c r="R67" s="122">
        <f>0.4*C67</f>
        <v>5535.122812059999</v>
      </c>
      <c r="S67" s="122">
        <v>40</v>
      </c>
      <c r="T67" s="122">
        <f>S67+M67</f>
        <v>60</v>
      </c>
      <c r="U67" s="130">
        <f>0.4*C67</f>
        <v>5535.122812059999</v>
      </c>
      <c r="V67" s="130">
        <v>40</v>
      </c>
      <c r="W67" s="130">
        <f>V67+T67</f>
        <v>100</v>
      </c>
      <c r="X67" s="122">
        <f>$C$74*Y67%</f>
        <v>0</v>
      </c>
      <c r="Y67" s="122">
        <v>0</v>
      </c>
      <c r="Z67" s="122">
        <f>Y67+W67</f>
        <v>100</v>
      </c>
      <c r="AB67" s="132"/>
    </row>
    <row r="68" spans="1:28" s="109" customFormat="1" ht="12.75">
      <c r="A68" s="119"/>
      <c r="B68" s="111"/>
      <c r="C68" s="112"/>
      <c r="D68" s="113"/>
      <c r="E68" s="114"/>
      <c r="F68" s="114"/>
      <c r="G68" s="114"/>
      <c r="H68" s="114"/>
      <c r="I68" s="114"/>
      <c r="J68" s="114"/>
      <c r="K68" s="114"/>
      <c r="L68" s="114"/>
      <c r="M68" s="114"/>
      <c r="N68" s="115"/>
      <c r="O68" s="116"/>
      <c r="P68" s="114"/>
      <c r="Q68" s="114"/>
      <c r="R68" s="114"/>
      <c r="S68" s="114"/>
      <c r="T68" s="114"/>
      <c r="U68" s="117"/>
      <c r="V68" s="117"/>
      <c r="W68" s="117"/>
      <c r="X68" s="114"/>
      <c r="Y68" s="114"/>
      <c r="Z68" s="114"/>
      <c r="AB68" s="110"/>
    </row>
    <row r="69" spans="1:28" s="131" customFormat="1" ht="12.75">
      <c r="A69" s="133">
        <f>SINTETICO_PAC_OBRA_3000!A356</f>
        <v>28000000</v>
      </c>
      <c r="B69" s="134" t="str">
        <f>SINTETICO_PAC_OBRA_3000!C356</f>
        <v>ELETRICA – PE-REDE-PEC</v>
      </c>
      <c r="C69" s="135">
        <f>SINTETICO_PAC_OBRA_3000!G356*(1.2347)</f>
        <v>33199.202551899994</v>
      </c>
      <c r="D69" s="136">
        <f>C69/$C$82</f>
        <v>0.018765817945401803</v>
      </c>
      <c r="E69" s="122">
        <f>$C$76*F69%</f>
        <v>0</v>
      </c>
      <c r="F69" s="122">
        <v>0</v>
      </c>
      <c r="G69" s="122">
        <f>F69</f>
        <v>0</v>
      </c>
      <c r="H69" s="122">
        <f>$C$76*I69%</f>
        <v>0</v>
      </c>
      <c r="I69" s="122">
        <v>0</v>
      </c>
      <c r="J69" s="122">
        <f>I69+G69</f>
        <v>0</v>
      </c>
      <c r="K69" s="122">
        <f>$C$76*L69%</f>
        <v>0</v>
      </c>
      <c r="L69" s="122">
        <v>0</v>
      </c>
      <c r="M69" s="122">
        <f>L69+J69</f>
        <v>0</v>
      </c>
      <c r="N69" s="127">
        <f>A69</f>
        <v>28000000</v>
      </c>
      <c r="O69" s="128" t="str">
        <f>B69</f>
        <v>ELETRICA – PE-REDE-PEC</v>
      </c>
      <c r="P69" s="122">
        <f>C69</f>
        <v>33199.202551899994</v>
      </c>
      <c r="Q69" s="129">
        <f>P69/$P$82</f>
        <v>0.018765817945401803</v>
      </c>
      <c r="R69" s="122">
        <f>0.5*C69</f>
        <v>16599.601275949997</v>
      </c>
      <c r="S69" s="122">
        <v>50</v>
      </c>
      <c r="T69" s="122">
        <f>S69+M69</f>
        <v>50</v>
      </c>
      <c r="U69" s="130">
        <f>0.5*C69</f>
        <v>16599.601275949997</v>
      </c>
      <c r="V69" s="130">
        <v>50</v>
      </c>
      <c r="W69" s="130">
        <f>V69+T69</f>
        <v>100</v>
      </c>
      <c r="X69" s="122">
        <f>$C$76*Y69%</f>
        <v>0</v>
      </c>
      <c r="Y69" s="122">
        <v>0</v>
      </c>
      <c r="Z69" s="122">
        <f>Y69+W69</f>
        <v>100</v>
      </c>
      <c r="AB69" s="132"/>
    </row>
    <row r="70" spans="1:28" s="109" customFormat="1" ht="12.75">
      <c r="A70" s="119"/>
      <c r="B70" s="111"/>
      <c r="C70" s="112"/>
      <c r="D70" s="113"/>
      <c r="E70" s="114"/>
      <c r="F70" s="114"/>
      <c r="G70" s="114"/>
      <c r="H70" s="114"/>
      <c r="I70" s="114"/>
      <c r="J70" s="114"/>
      <c r="K70" s="114"/>
      <c r="L70" s="114"/>
      <c r="M70" s="114"/>
      <c r="N70" s="115"/>
      <c r="O70" s="116"/>
      <c r="P70" s="114"/>
      <c r="Q70" s="114"/>
      <c r="R70" s="114"/>
      <c r="S70" s="114"/>
      <c r="T70" s="114"/>
      <c r="U70" s="117"/>
      <c r="V70" s="117"/>
      <c r="W70" s="117"/>
      <c r="X70" s="114"/>
      <c r="Y70" s="114"/>
      <c r="Z70" s="114"/>
      <c r="AB70" s="110"/>
    </row>
    <row r="71" spans="1:28" s="131" customFormat="1" ht="12.75">
      <c r="A71" s="133">
        <f>SINTETICO_PAC_OBRA_3000!A389</f>
        <v>29000000</v>
      </c>
      <c r="B71" s="134" t="str">
        <f>SINTETICO_PAC_OBRA_3000!C389</f>
        <v>COMUNICAÇÃO VISUAL </v>
      </c>
      <c r="C71" s="135">
        <f>SINTETICO_PAC_OBRA_3000!G389*(1.2347)</f>
        <v>3097.0227040000004</v>
      </c>
      <c r="D71" s="136">
        <f>C71/$C$82</f>
        <v>0.0017505891638567056</v>
      </c>
      <c r="E71" s="122">
        <f>$C$79*F71%</f>
        <v>0</v>
      </c>
      <c r="F71" s="122">
        <v>0</v>
      </c>
      <c r="G71" s="122">
        <f>F71</f>
        <v>0</v>
      </c>
      <c r="H71" s="122">
        <f>$C$79*I71%</f>
        <v>0</v>
      </c>
      <c r="I71" s="122">
        <v>0</v>
      </c>
      <c r="J71" s="122">
        <f>I71+G71</f>
        <v>0</v>
      </c>
      <c r="K71" s="122">
        <f>$C$79*L71%</f>
        <v>0</v>
      </c>
      <c r="L71" s="122">
        <v>0</v>
      </c>
      <c r="M71" s="122">
        <f>L71+J71</f>
        <v>0</v>
      </c>
      <c r="N71" s="127">
        <f>A71</f>
        <v>29000000</v>
      </c>
      <c r="O71" s="128" t="str">
        <f>B71</f>
        <v>COMUNICAÇÃO VISUAL </v>
      </c>
      <c r="P71" s="122">
        <f>C71</f>
        <v>3097.0227040000004</v>
      </c>
      <c r="Q71" s="129">
        <f>P71/$P$82</f>
        <v>0.0017505891638567056</v>
      </c>
      <c r="R71" s="122">
        <f>$C$79*S71%</f>
        <v>0</v>
      </c>
      <c r="S71" s="122">
        <v>0</v>
      </c>
      <c r="T71" s="122">
        <f>S71+M71</f>
        <v>0</v>
      </c>
      <c r="U71" s="130">
        <f>$C$79*V71%</f>
        <v>0</v>
      </c>
      <c r="V71" s="130">
        <v>0</v>
      </c>
      <c r="W71" s="130">
        <f>V71+T71</f>
        <v>0</v>
      </c>
      <c r="X71" s="122">
        <f>C71</f>
        <v>3097.0227040000004</v>
      </c>
      <c r="Y71" s="122">
        <v>100</v>
      </c>
      <c r="Z71" s="122">
        <f>Y71+W71</f>
        <v>100</v>
      </c>
      <c r="AB71" s="132"/>
    </row>
    <row r="72" spans="1:28" s="109" customFormat="1" ht="12.75">
      <c r="A72" s="119"/>
      <c r="B72" s="111"/>
      <c r="C72" s="112"/>
      <c r="D72" s="113"/>
      <c r="E72" s="114"/>
      <c r="F72" s="114"/>
      <c r="G72" s="114"/>
      <c r="H72" s="114"/>
      <c r="I72" s="114"/>
      <c r="J72" s="114"/>
      <c r="K72" s="114"/>
      <c r="L72" s="114"/>
      <c r="M72" s="114"/>
      <c r="N72" s="115"/>
      <c r="O72" s="116"/>
      <c r="P72" s="114"/>
      <c r="Q72" s="114"/>
      <c r="R72" s="114"/>
      <c r="S72" s="114"/>
      <c r="T72" s="114"/>
      <c r="U72" s="117"/>
      <c r="V72" s="117"/>
      <c r="W72" s="117"/>
      <c r="X72" s="114"/>
      <c r="Y72" s="114"/>
      <c r="Z72" s="114"/>
      <c r="AB72" s="110"/>
    </row>
    <row r="73" spans="1:28" s="131" customFormat="1" ht="12.75">
      <c r="A73" s="133">
        <f>SINTETICO_PAC_OBRA_3000!A419</f>
        <v>30000000</v>
      </c>
      <c r="B73" s="134" t="str">
        <f>SINTETICO_PAC_OBRA_3000!C419</f>
        <v>SERVIÇOS COMPLEMENTARES </v>
      </c>
      <c r="C73" s="135">
        <f>SINTETICO_PAC_OBRA_3000!G419*(1.2347)</f>
        <v>98991.39255071</v>
      </c>
      <c r="D73" s="136">
        <f>C73/$C$82</f>
        <v>0.05595479131959193</v>
      </c>
      <c r="E73" s="122">
        <f>$C$83*F73%</f>
        <v>0</v>
      </c>
      <c r="F73" s="122">
        <v>0</v>
      </c>
      <c r="G73" s="122">
        <f>F73</f>
        <v>0</v>
      </c>
      <c r="H73" s="122">
        <f>$C$83*I73%</f>
        <v>0</v>
      </c>
      <c r="I73" s="122">
        <v>0</v>
      </c>
      <c r="J73" s="122">
        <f>I73+G73</f>
        <v>0</v>
      </c>
      <c r="K73" s="122">
        <f>$C$83*L73%</f>
        <v>0</v>
      </c>
      <c r="L73" s="122">
        <v>0</v>
      </c>
      <c r="M73" s="122">
        <f>L73+J73</f>
        <v>0</v>
      </c>
      <c r="N73" s="127">
        <f>A73</f>
        <v>30000000</v>
      </c>
      <c r="O73" s="128" t="str">
        <f>B73</f>
        <v>SERVIÇOS COMPLEMENTARES </v>
      </c>
      <c r="P73" s="122">
        <f>C73</f>
        <v>98991.39255071</v>
      </c>
      <c r="Q73" s="129">
        <f>P73/$P$82</f>
        <v>0.05595479131959193</v>
      </c>
      <c r="R73" s="122">
        <f>$C$83*S73%</f>
        <v>0</v>
      </c>
      <c r="S73" s="122">
        <v>0</v>
      </c>
      <c r="T73" s="122">
        <f>S73+M73</f>
        <v>0</v>
      </c>
      <c r="U73" s="130">
        <f>C73*0.4</f>
        <v>39596.557020284</v>
      </c>
      <c r="V73" s="130">
        <v>40</v>
      </c>
      <c r="W73" s="130">
        <f>V73+T73</f>
        <v>40</v>
      </c>
      <c r="X73" s="122">
        <f>0.6*C73</f>
        <v>59394.835530426004</v>
      </c>
      <c r="Y73" s="122">
        <v>60</v>
      </c>
      <c r="Z73" s="122">
        <f>Y73+W73</f>
        <v>100</v>
      </c>
      <c r="AB73" s="132"/>
    </row>
    <row r="74" spans="1:28" s="109" customFormat="1" ht="12.75">
      <c r="A74" s="119"/>
      <c r="B74" s="111"/>
      <c r="C74" s="112"/>
      <c r="D74" s="113"/>
      <c r="E74" s="114"/>
      <c r="F74" s="114"/>
      <c r="G74" s="114"/>
      <c r="H74" s="114"/>
      <c r="I74" s="114"/>
      <c r="J74" s="114"/>
      <c r="K74" s="114"/>
      <c r="L74" s="114"/>
      <c r="M74" s="114"/>
      <c r="N74" s="115"/>
      <c r="O74" s="116"/>
      <c r="P74" s="114"/>
      <c r="Q74" s="114"/>
      <c r="R74" s="114"/>
      <c r="S74" s="114"/>
      <c r="T74" s="114"/>
      <c r="U74" s="117"/>
      <c r="V74" s="117"/>
      <c r="W74" s="117"/>
      <c r="X74" s="114"/>
      <c r="Y74" s="114"/>
      <c r="Z74" s="114"/>
      <c r="AB74" s="110"/>
    </row>
    <row r="75" spans="1:28" s="131" customFormat="1" ht="12.75">
      <c r="A75" s="133">
        <f>SINTETICO_PAC_OBRA_3000!A443</f>
        <v>31000000</v>
      </c>
      <c r="B75" s="134" t="str">
        <f>SINTETICO_PAC_OBRA_3000!C443</f>
        <v>PINTURA </v>
      </c>
      <c r="C75" s="135">
        <f>SINTETICO_PAC_OBRA_3000!G443*(1.2347)</f>
        <v>76014.98495541001</v>
      </c>
      <c r="D75" s="136">
        <f>C75/$C$82</f>
        <v>0.042967398586326686</v>
      </c>
      <c r="E75" s="122">
        <f>$C$85*F75%</f>
        <v>0</v>
      </c>
      <c r="F75" s="122">
        <v>0</v>
      </c>
      <c r="G75" s="122">
        <f>F75</f>
        <v>0</v>
      </c>
      <c r="H75" s="122">
        <f>$C$85*I75%</f>
        <v>0</v>
      </c>
      <c r="I75" s="122">
        <v>0</v>
      </c>
      <c r="J75" s="122">
        <f>I75+G75</f>
        <v>0</v>
      </c>
      <c r="K75" s="122">
        <f>$C$85*L75%</f>
        <v>0</v>
      </c>
      <c r="L75" s="122">
        <v>0</v>
      </c>
      <c r="M75" s="122">
        <f>L75+J75</f>
        <v>0</v>
      </c>
      <c r="N75" s="127">
        <f>A75</f>
        <v>31000000</v>
      </c>
      <c r="O75" s="128" t="str">
        <f>B75</f>
        <v>PINTURA </v>
      </c>
      <c r="P75" s="122">
        <f>C75</f>
        <v>76014.98495541001</v>
      </c>
      <c r="Q75" s="129">
        <f>P75/$P$82</f>
        <v>0.042967398586326686</v>
      </c>
      <c r="R75" s="122">
        <f>$C$85*S75%</f>
        <v>0</v>
      </c>
      <c r="S75" s="122">
        <v>0</v>
      </c>
      <c r="T75" s="122">
        <f>S75+M75</f>
        <v>0</v>
      </c>
      <c r="U75" s="130">
        <f>$C$85*V75%</f>
        <v>0</v>
      </c>
      <c r="V75" s="130">
        <v>0</v>
      </c>
      <c r="W75" s="130">
        <f>V75+T75</f>
        <v>0</v>
      </c>
      <c r="X75" s="122">
        <f>C75</f>
        <v>76014.98495541001</v>
      </c>
      <c r="Y75" s="122">
        <v>100</v>
      </c>
      <c r="Z75" s="122">
        <f>Y75+W75</f>
        <v>100</v>
      </c>
      <c r="AB75" s="132"/>
    </row>
    <row r="76" spans="1:28" s="109" customFormat="1" ht="12.75">
      <c r="A76" s="119"/>
      <c r="B76" s="111"/>
      <c r="C76" s="112"/>
      <c r="D76" s="113"/>
      <c r="E76" s="114"/>
      <c r="F76" s="114"/>
      <c r="G76" s="114"/>
      <c r="H76" s="114"/>
      <c r="I76" s="114"/>
      <c r="J76" s="114"/>
      <c r="K76" s="114"/>
      <c r="L76" s="114"/>
      <c r="M76" s="114"/>
      <c r="N76" s="115"/>
      <c r="O76" s="116"/>
      <c r="P76" s="114"/>
      <c r="Q76" s="114"/>
      <c r="R76" s="114"/>
      <c r="S76" s="114"/>
      <c r="T76" s="114"/>
      <c r="U76" s="117"/>
      <c r="V76" s="117"/>
      <c r="W76" s="117"/>
      <c r="X76" s="114"/>
      <c r="Y76" s="114"/>
      <c r="Z76" s="114"/>
      <c r="AB76" s="110"/>
    </row>
    <row r="77" spans="1:28" s="131" customFormat="1" ht="12.75">
      <c r="A77" s="133">
        <f>SINTETICO_PAC_OBRA_3000!A455</f>
        <v>32000000</v>
      </c>
      <c r="B77" s="134" t="str">
        <f>SINTETICO_PAC_OBRA_3000!C455</f>
        <v>LIMPEZA FINAL DE OBRA </v>
      </c>
      <c r="C77" s="135">
        <f>SINTETICO_PAC_OBRA_3000!G455*(1.2347)</f>
        <v>3630.0179999999996</v>
      </c>
      <c r="D77" s="136">
        <f>C77/$C$82</f>
        <v>0.0020518642524632877</v>
      </c>
      <c r="E77" s="122">
        <f>C77*0.16</f>
        <v>580.80288</v>
      </c>
      <c r="F77" s="122">
        <v>16</v>
      </c>
      <c r="G77" s="122">
        <f>F77</f>
        <v>16</v>
      </c>
      <c r="H77" s="122">
        <f>C77*0.16</f>
        <v>580.80288</v>
      </c>
      <c r="I77" s="122">
        <v>16</v>
      </c>
      <c r="J77" s="122">
        <f>I77+G77</f>
        <v>32</v>
      </c>
      <c r="K77" s="122">
        <f>C77*0.16</f>
        <v>580.80288</v>
      </c>
      <c r="L77" s="122">
        <v>16</v>
      </c>
      <c r="M77" s="122">
        <f>L77+J77</f>
        <v>48</v>
      </c>
      <c r="N77" s="127">
        <f>A77</f>
        <v>32000000</v>
      </c>
      <c r="O77" s="128" t="str">
        <f>B77</f>
        <v>LIMPEZA FINAL DE OBRA </v>
      </c>
      <c r="P77" s="122">
        <f>C77</f>
        <v>3630.0179999999996</v>
      </c>
      <c r="Q77" s="129">
        <f>P77/$P$82</f>
        <v>0.0020518642524632877</v>
      </c>
      <c r="R77" s="122">
        <f>C77*0.16</f>
        <v>580.80288</v>
      </c>
      <c r="S77" s="122">
        <v>16</v>
      </c>
      <c r="T77" s="122">
        <f>S77+M77</f>
        <v>64</v>
      </c>
      <c r="U77" s="130">
        <f>0.16*C77</f>
        <v>580.80288</v>
      </c>
      <c r="V77" s="130">
        <v>16</v>
      </c>
      <c r="W77" s="130">
        <f>V77+T77</f>
        <v>80</v>
      </c>
      <c r="X77" s="122">
        <f>0.2*C77</f>
        <v>726.0036</v>
      </c>
      <c r="Y77" s="130">
        <v>20</v>
      </c>
      <c r="Z77" s="122">
        <f>Y77+W77</f>
        <v>100</v>
      </c>
      <c r="AB77" s="132"/>
    </row>
    <row r="78" spans="1:28" s="109" customFormat="1" ht="12.75">
      <c r="A78" s="121"/>
      <c r="B78" s="118"/>
      <c r="C78" s="103"/>
      <c r="D78" s="104"/>
      <c r="E78" s="105"/>
      <c r="F78" s="105"/>
      <c r="G78" s="105"/>
      <c r="H78" s="105"/>
      <c r="I78" s="105"/>
      <c r="J78" s="105"/>
      <c r="K78" s="105"/>
      <c r="L78" s="105"/>
      <c r="M78" s="105"/>
      <c r="N78" s="106"/>
      <c r="O78" s="107"/>
      <c r="P78" s="105"/>
      <c r="Q78" s="105"/>
      <c r="R78" s="105"/>
      <c r="S78" s="105"/>
      <c r="T78" s="105"/>
      <c r="U78" s="108"/>
      <c r="V78" s="108"/>
      <c r="W78" s="108"/>
      <c r="X78" s="105"/>
      <c r="Y78" s="108"/>
      <c r="Z78" s="105"/>
      <c r="AB78" s="110"/>
    </row>
    <row r="79" spans="1:28" s="131" customFormat="1" ht="12.75">
      <c r="A79" s="133">
        <f>SINTETICO_PAC_OBRA_3000!A457</f>
        <v>33000000</v>
      </c>
      <c r="B79" s="134" t="str">
        <f>SINTETICO_PAC_OBRA_3000!C457</f>
        <v>ADMINISTRAÇÃO </v>
      </c>
      <c r="C79" s="135">
        <f>SINTETICO_PAC_OBRA_3000!G457*(1.2347)</f>
        <v>251930.44083362</v>
      </c>
      <c r="D79" s="136">
        <f>C79/$C$82</f>
        <v>0.14240344418507628</v>
      </c>
      <c r="E79" s="122">
        <f>C79*0.16</f>
        <v>40308.8705333792</v>
      </c>
      <c r="F79" s="122">
        <v>16</v>
      </c>
      <c r="G79" s="122">
        <f>F79</f>
        <v>16</v>
      </c>
      <c r="H79" s="122">
        <f>0.16*C79</f>
        <v>40308.8705333792</v>
      </c>
      <c r="I79" s="122">
        <v>16</v>
      </c>
      <c r="J79" s="122">
        <f>I79+G79</f>
        <v>32</v>
      </c>
      <c r="K79" s="122">
        <f>C79*0.16</f>
        <v>40308.8705333792</v>
      </c>
      <c r="L79" s="122">
        <v>16</v>
      </c>
      <c r="M79" s="122">
        <f>L79+J79</f>
        <v>48</v>
      </c>
      <c r="N79" s="127">
        <f>A79</f>
        <v>33000000</v>
      </c>
      <c r="O79" s="128" t="str">
        <f>B79</f>
        <v>ADMINISTRAÇÃO </v>
      </c>
      <c r="P79" s="122">
        <f>C79</f>
        <v>251930.44083362</v>
      </c>
      <c r="Q79" s="129">
        <f>P79/$P$82</f>
        <v>0.14240344418507628</v>
      </c>
      <c r="R79" s="122">
        <f>C79*0.16</f>
        <v>40308.8705333792</v>
      </c>
      <c r="S79" s="122">
        <v>16</v>
      </c>
      <c r="T79" s="122">
        <f>S79+M79</f>
        <v>64</v>
      </c>
      <c r="U79" s="130">
        <f>0.16*C79</f>
        <v>40308.8705333792</v>
      </c>
      <c r="V79" s="130">
        <v>16</v>
      </c>
      <c r="W79" s="130">
        <f>V79+T79</f>
        <v>80</v>
      </c>
      <c r="X79" s="122">
        <f>0.2*C79</f>
        <v>50386.088166724</v>
      </c>
      <c r="Y79" s="130">
        <v>20</v>
      </c>
      <c r="Z79" s="122">
        <f>Y79+W79</f>
        <v>100</v>
      </c>
      <c r="AB79" s="132"/>
    </row>
    <row r="80" spans="1:28" s="131" customFormat="1" ht="12.75">
      <c r="A80" s="133"/>
      <c r="B80" s="134"/>
      <c r="C80" s="135"/>
      <c r="D80" s="136"/>
      <c r="E80" s="122"/>
      <c r="F80" s="122"/>
      <c r="G80" s="122"/>
      <c r="H80" s="122"/>
      <c r="I80" s="122"/>
      <c r="J80" s="122"/>
      <c r="K80" s="122"/>
      <c r="L80" s="122"/>
      <c r="M80" s="122"/>
      <c r="N80" s="127"/>
      <c r="O80" s="128"/>
      <c r="P80" s="122"/>
      <c r="Q80" s="129"/>
      <c r="R80" s="122"/>
      <c r="S80" s="122"/>
      <c r="T80" s="122"/>
      <c r="U80" s="130"/>
      <c r="V80" s="130"/>
      <c r="W80" s="130"/>
      <c r="X80" s="122"/>
      <c r="Y80" s="130"/>
      <c r="Z80" s="122"/>
      <c r="AB80" s="132"/>
    </row>
    <row r="81" spans="1:28" s="131" customFormat="1" ht="12.75">
      <c r="A81" s="133"/>
      <c r="B81" s="134"/>
      <c r="C81" s="135"/>
      <c r="D81" s="136"/>
      <c r="E81" s="122"/>
      <c r="F81" s="122"/>
      <c r="G81" s="122"/>
      <c r="H81" s="122"/>
      <c r="I81" s="122"/>
      <c r="J81" s="122"/>
      <c r="K81" s="122"/>
      <c r="L81" s="122"/>
      <c r="M81" s="122"/>
      <c r="N81" s="127"/>
      <c r="O81" s="128"/>
      <c r="P81" s="122"/>
      <c r="Q81" s="129"/>
      <c r="R81" s="122"/>
      <c r="S81" s="122"/>
      <c r="T81" s="122"/>
      <c r="U81" s="130"/>
      <c r="V81" s="130"/>
      <c r="W81" s="130"/>
      <c r="X81" s="122"/>
      <c r="Y81" s="122"/>
      <c r="Z81" s="122"/>
      <c r="AB81" s="132"/>
    </row>
    <row r="82" spans="1:28" ht="13.5" customHeight="1" thickBot="1">
      <c r="A82" s="146" t="s">
        <v>102</v>
      </c>
      <c r="B82" s="147"/>
      <c r="C82" s="148">
        <f>SUM(C14:C81)</f>
        <v>1769131.6546121994</v>
      </c>
      <c r="D82" s="145">
        <f>SUM(D15:D81)</f>
        <v>1.0000000000000002</v>
      </c>
      <c r="E82" s="274">
        <f>SUM(E15:E81)</f>
        <v>179692.6281849992</v>
      </c>
      <c r="F82" s="274"/>
      <c r="G82" s="274"/>
      <c r="H82" s="274">
        <f>SUM(H15:H81)</f>
        <v>292420.4426965952</v>
      </c>
      <c r="I82" s="274"/>
      <c r="J82" s="274"/>
      <c r="K82" s="274">
        <f>SUM(K15:K81)</f>
        <v>431638.5231782102</v>
      </c>
      <c r="L82" s="274"/>
      <c r="M82" s="274"/>
      <c r="N82" s="46"/>
      <c r="O82" s="46"/>
      <c r="P82" s="47">
        <f>SUM(P15:P81)</f>
        <v>1769131.6546121994</v>
      </c>
      <c r="Q82" s="48">
        <f>SUM(Q15:Q81)</f>
        <v>1.0000000000000002</v>
      </c>
      <c r="R82" s="274">
        <f>SUM(R15:R81)</f>
        <v>312174.1129650302</v>
      </c>
      <c r="S82" s="274"/>
      <c r="T82" s="274"/>
      <c r="U82" s="274">
        <f>SUM(U15:U81)</f>
        <v>262301.1520550732</v>
      </c>
      <c r="V82" s="274"/>
      <c r="W82" s="274"/>
      <c r="X82" s="274">
        <f>SUM(X15:X81)</f>
        <v>290904.795532292</v>
      </c>
      <c r="Y82" s="274"/>
      <c r="Z82" s="274"/>
      <c r="AB82" s="13"/>
    </row>
    <row r="83" ht="12.75">
      <c r="C83" s="13"/>
    </row>
    <row r="86" ht="12.75">
      <c r="C86" s="99"/>
    </row>
    <row r="96" ht="12.75">
      <c r="D96" s="203"/>
    </row>
    <row r="102" ht="12.75">
      <c r="B102" s="99"/>
    </row>
  </sheetData>
  <sheetProtection password="F891" sheet="1" objects="1" scenarios="1"/>
  <mergeCells count="36">
    <mergeCell ref="A10:G10"/>
    <mergeCell ref="I10:J10"/>
    <mergeCell ref="A1:M1"/>
    <mergeCell ref="A2:M2"/>
    <mergeCell ref="H9:J9"/>
    <mergeCell ref="A9:G9"/>
    <mergeCell ref="A7:G7"/>
    <mergeCell ref="H7:M7"/>
    <mergeCell ref="A8:M8"/>
    <mergeCell ref="A4:M4"/>
    <mergeCell ref="U7:Z7"/>
    <mergeCell ref="N8:Z8"/>
    <mergeCell ref="N1:Z1"/>
    <mergeCell ref="N2:Z2"/>
    <mergeCell ref="N4:Z4"/>
    <mergeCell ref="N5:T5"/>
    <mergeCell ref="A6:M6"/>
    <mergeCell ref="U12:W12"/>
    <mergeCell ref="X12:Z12"/>
    <mergeCell ref="A5:G5"/>
    <mergeCell ref="N9:T9"/>
    <mergeCell ref="U9:W9"/>
    <mergeCell ref="N10:T10"/>
    <mergeCell ref="V10:W10"/>
    <mergeCell ref="N6:Z6"/>
    <mergeCell ref="N7:T7"/>
    <mergeCell ref="U82:W82"/>
    <mergeCell ref="X82:Z82"/>
    <mergeCell ref="E12:G12"/>
    <mergeCell ref="H12:J12"/>
    <mergeCell ref="E82:G82"/>
    <mergeCell ref="H82:J82"/>
    <mergeCell ref="K82:M82"/>
    <mergeCell ref="R82:T82"/>
    <mergeCell ref="K12:M12"/>
    <mergeCell ref="R12:T12"/>
  </mergeCells>
  <conditionalFormatting sqref="H22">
    <cfRule type="cellIs" priority="1" dxfId="0" operator="greaterThan" stopIfTrue="1">
      <formula>0</formula>
    </cfRule>
  </conditionalFormatting>
  <conditionalFormatting sqref="E15:G15 E17:G17 Y75:Z75">
    <cfRule type="cellIs" priority="2" dxfId="0" operator="greaterThan" stopIfTrue="1">
      <formula>33649.422</formula>
    </cfRule>
  </conditionalFormatting>
  <conditionalFormatting sqref="E16:Z16 H15:U21 V15:Z20 Y21:Z74 E18:G80 H23:H80 X21:X80 I22:W80 E81:X81 Y76:Z81">
    <cfRule type="cellIs" priority="3" dxfId="1" operator="greaterThan" stopIfTrue="1">
      <formula>0</formula>
    </cfRule>
    <cfRule type="cellIs" priority="4" dxfId="0" operator="greaterThan" stopIfTrue="1">
      <formula>0</formula>
    </cfRule>
  </conditionalFormatting>
  <printOptions horizontalCentered="1"/>
  <pageMargins left="0.1968503937007874" right="0.1968503937007874" top="0.7874015748031497" bottom="0.7874015748031497" header="0.5118110236220472" footer="0.5118110236220472"/>
  <pageSetup horizontalDpi="300" verticalDpi="300" orientation="landscape" paperSize="9" scale="70" r:id="rId5"/>
  <headerFooter alignWithMargins="0">
    <oddFooter>&amp;CPágina &amp;P de &amp;N</oddFooter>
  </headerFooter>
  <legacyDrawing r:id="rId4"/>
  <oleObjects>
    <oleObject progId="Word.Picture.8" shapeId="744761" r:id="rId1"/>
    <oleObject progId="Word.Picture.8" shapeId="783592" r:id="rId2"/>
    <oleObject progId="Word.Picture.8" shapeId="827964" r:id="rId3"/>
  </oleObjects>
</worksheet>
</file>

<file path=xl/worksheets/sheet3.xml><?xml version="1.0" encoding="utf-8"?>
<worksheet xmlns="http://schemas.openxmlformats.org/spreadsheetml/2006/main" xmlns:r="http://schemas.openxmlformats.org/officeDocument/2006/relationships">
  <dimension ref="A1:K40"/>
  <sheetViews>
    <sheetView zoomScale="75" zoomScaleNormal="75" workbookViewId="0" topLeftCell="A16">
      <selection activeCell="F17" sqref="F17"/>
    </sheetView>
  </sheetViews>
  <sheetFormatPr defaultColWidth="9.140625" defaultRowHeight="12.75"/>
  <cols>
    <col min="2" max="2" width="11.421875" style="0" bestFit="1" customWidth="1"/>
    <col min="4" max="4" width="13.140625" style="0" bestFit="1" customWidth="1"/>
  </cols>
  <sheetData>
    <row r="1" spans="1:11" ht="23.25">
      <c r="A1" s="289" t="s">
        <v>31</v>
      </c>
      <c r="B1" s="289"/>
      <c r="C1" s="289"/>
      <c r="D1" s="289"/>
      <c r="E1" s="289"/>
      <c r="F1" s="289"/>
      <c r="G1" s="289"/>
      <c r="H1" s="289"/>
      <c r="I1" s="289"/>
      <c r="J1" s="289"/>
      <c r="K1" s="289"/>
    </row>
    <row r="2" spans="1:11" ht="23.25">
      <c r="A2" s="290" t="s">
        <v>32</v>
      </c>
      <c r="B2" s="290"/>
      <c r="C2" s="290"/>
      <c r="D2" s="290"/>
      <c r="E2" s="290"/>
      <c r="F2" s="290"/>
      <c r="G2" s="290"/>
      <c r="H2" s="290"/>
      <c r="I2" s="290"/>
      <c r="J2" s="290"/>
      <c r="K2" s="290"/>
    </row>
    <row r="3" spans="1:11" ht="23.25">
      <c r="A3" s="50"/>
      <c r="B3" s="50"/>
      <c r="C3" s="50"/>
      <c r="D3" s="50"/>
      <c r="E3" s="50"/>
      <c r="F3" s="50"/>
      <c r="G3" s="50"/>
      <c r="H3" s="51"/>
      <c r="I3" s="52"/>
      <c r="J3" s="53"/>
      <c r="K3" s="53"/>
    </row>
    <row r="4" spans="1:11" ht="23.25">
      <c r="A4" s="260" t="s">
        <v>644</v>
      </c>
      <c r="B4" s="261"/>
      <c r="C4" s="261"/>
      <c r="D4" s="261"/>
      <c r="E4" s="261"/>
      <c r="F4" s="261"/>
      <c r="G4" s="261"/>
      <c r="H4" s="261"/>
      <c r="I4" s="261"/>
      <c r="J4" s="261"/>
      <c r="K4" s="262"/>
    </row>
    <row r="5" spans="1:11" ht="4.5" customHeight="1">
      <c r="A5" s="291"/>
      <c r="B5" s="291"/>
      <c r="C5" s="291"/>
      <c r="D5" s="291"/>
      <c r="E5" s="291"/>
      <c r="F5" s="291"/>
      <c r="G5" s="291"/>
      <c r="H5" s="291"/>
      <c r="I5" s="291"/>
      <c r="J5" s="53"/>
      <c r="K5" s="53"/>
    </row>
    <row r="6" spans="1:11" s="57" customFormat="1" ht="20.25" customHeight="1">
      <c r="A6" s="2" t="s">
        <v>341</v>
      </c>
      <c r="B6" s="55"/>
      <c r="C6" s="55"/>
      <c r="D6" s="55"/>
      <c r="E6" s="55"/>
      <c r="F6" s="55"/>
      <c r="G6" s="55"/>
      <c r="H6" s="55"/>
      <c r="I6" s="55"/>
      <c r="J6" s="55"/>
      <c r="K6" s="56"/>
    </row>
    <row r="7" spans="1:11" s="57" customFormat="1" ht="20.25" customHeight="1">
      <c r="A7" s="54" t="str">
        <f>SINTETICO_PAC_OBRA_3000!A7</f>
        <v>REFERENCIA: OBRA -  PEC 3000 </v>
      </c>
      <c r="B7" s="55"/>
      <c r="C7" s="55"/>
      <c r="D7" s="55"/>
      <c r="E7" s="55"/>
      <c r="F7" s="55"/>
      <c r="G7" s="56"/>
      <c r="H7" s="54" t="str">
        <f>SINTETICO_PAC_OBRA_3000!D7</f>
        <v>CONTRATO: 0363.358-88</v>
      </c>
      <c r="I7" s="55"/>
      <c r="J7" s="55"/>
      <c r="K7" s="56"/>
    </row>
    <row r="8" spans="1:11" s="57" customFormat="1" ht="20.25" customHeight="1">
      <c r="A8" s="78" t="str">
        <f>SINTETICO_PAC_OBRA_3000!A9</f>
        <v>PROF. RESP.: MARIA IGNÊS SILVÉRIO                     </v>
      </c>
      <c r="B8" s="79"/>
      <c r="C8" s="79"/>
      <c r="D8" s="79"/>
      <c r="E8" s="80"/>
      <c r="F8" s="285" t="str">
        <f>SINTETICO_PAC_OBRA_3000!D9</f>
        <v>CREA: MG-30.465/D</v>
      </c>
      <c r="G8" s="285"/>
      <c r="H8" s="285"/>
      <c r="I8" s="286" t="str">
        <f>SINTETICO_PAC_OBRA_3000!F9</f>
        <v>ART Nº : 275096</v>
      </c>
      <c r="J8" s="287"/>
      <c r="K8" s="288"/>
    </row>
    <row r="9" spans="1:11" s="57" customFormat="1" ht="15">
      <c r="A9" s="81" t="s">
        <v>638</v>
      </c>
      <c r="B9" s="82">
        <f>'CRON OBRA'!V10</f>
        <v>40933</v>
      </c>
      <c r="C9" s="58"/>
      <c r="D9" s="58"/>
      <c r="E9" s="58"/>
      <c r="F9" s="58"/>
      <c r="G9" s="58"/>
      <c r="H9" s="58"/>
      <c r="I9" s="58"/>
      <c r="J9" s="279"/>
      <c r="K9" s="280"/>
    </row>
    <row r="10" spans="1:11" s="57" customFormat="1" ht="4.5" customHeight="1" thickBot="1">
      <c r="A10" s="281"/>
      <c r="B10" s="281"/>
      <c r="C10" s="281"/>
      <c r="D10" s="59"/>
      <c r="E10" s="59"/>
      <c r="F10" s="59"/>
      <c r="G10" s="59"/>
      <c r="H10" s="59"/>
      <c r="I10" s="59"/>
      <c r="J10" s="59"/>
      <c r="K10" s="59"/>
    </row>
    <row r="11" spans="1:11" s="57" customFormat="1" ht="12.75">
      <c r="A11" s="60"/>
      <c r="B11" s="61"/>
      <c r="C11" s="61"/>
      <c r="D11" s="61"/>
      <c r="E11" s="61"/>
      <c r="F11" s="61"/>
      <c r="G11" s="61"/>
      <c r="H11" s="61"/>
      <c r="I11" s="61"/>
      <c r="J11" s="61"/>
      <c r="K11" s="62"/>
    </row>
    <row r="12" spans="1:11" s="57" customFormat="1" ht="12.75">
      <c r="A12" s="63" t="s">
        <v>645</v>
      </c>
      <c r="B12" s="59"/>
      <c r="C12" s="59"/>
      <c r="D12" s="59"/>
      <c r="E12" s="59"/>
      <c r="F12" s="59"/>
      <c r="G12" s="59"/>
      <c r="H12" s="59"/>
      <c r="I12" s="59"/>
      <c r="J12" s="59"/>
      <c r="K12" s="64"/>
    </row>
    <row r="13" spans="1:11" s="57" customFormat="1" ht="13.5" thickBot="1">
      <c r="A13" s="63"/>
      <c r="B13" s="59"/>
      <c r="C13" s="59"/>
      <c r="D13" s="59"/>
      <c r="E13" s="59"/>
      <c r="F13" s="59"/>
      <c r="G13" s="59"/>
      <c r="H13" s="59"/>
      <c r="I13" s="59"/>
      <c r="J13" s="59"/>
      <c r="K13" s="64"/>
    </row>
    <row r="14" spans="1:11" s="57" customFormat="1" ht="13.5" thickBot="1">
      <c r="A14" s="63"/>
      <c r="B14" s="65">
        <v>0.009</v>
      </c>
      <c r="C14" s="59"/>
      <c r="D14" s="59"/>
      <c r="E14" s="59"/>
      <c r="F14" s="59"/>
      <c r="G14" s="59"/>
      <c r="H14" s="59"/>
      <c r="I14" s="59"/>
      <c r="J14" s="59"/>
      <c r="K14" s="64"/>
    </row>
    <row r="15" spans="1:11" s="57" customFormat="1" ht="12.75">
      <c r="A15" s="63"/>
      <c r="B15" s="59"/>
      <c r="C15" s="59"/>
      <c r="D15" s="59"/>
      <c r="E15" s="66" t="s">
        <v>646</v>
      </c>
      <c r="F15" s="59"/>
      <c r="G15" s="59"/>
      <c r="H15" s="59"/>
      <c r="I15" s="67" t="s">
        <v>647</v>
      </c>
      <c r="J15" s="68">
        <f>1+B18+B22+B30</f>
        <v>1.0795</v>
      </c>
      <c r="K15" s="64"/>
    </row>
    <row r="16" spans="1:11" s="57" customFormat="1" ht="12.75">
      <c r="A16" s="63" t="s">
        <v>648</v>
      </c>
      <c r="B16" s="59"/>
      <c r="C16" s="59"/>
      <c r="D16" s="59"/>
      <c r="E16" s="66" t="s">
        <v>649</v>
      </c>
      <c r="F16" s="59"/>
      <c r="G16" s="59"/>
      <c r="H16" s="59"/>
      <c r="I16" s="67" t="s">
        <v>650</v>
      </c>
      <c r="J16" s="68">
        <f>1+B14</f>
        <v>1.009</v>
      </c>
      <c r="K16" s="64"/>
    </row>
    <row r="17" spans="1:11" s="57" customFormat="1" ht="13.5" thickBot="1">
      <c r="A17" s="63"/>
      <c r="B17" s="59"/>
      <c r="C17" s="59"/>
      <c r="D17" s="59"/>
      <c r="E17" s="66" t="s">
        <v>651</v>
      </c>
      <c r="F17" s="59"/>
      <c r="G17" s="59"/>
      <c r="H17" s="59"/>
      <c r="I17" s="67" t="s">
        <v>652</v>
      </c>
      <c r="J17" s="68">
        <f>1+B26</f>
        <v>1.0695000000000001</v>
      </c>
      <c r="K17" s="64"/>
    </row>
    <row r="18" spans="1:11" s="57" customFormat="1" ht="13.5" thickBot="1">
      <c r="A18" s="63"/>
      <c r="B18" s="65">
        <v>0.019</v>
      </c>
      <c r="C18" s="59"/>
      <c r="D18" s="59"/>
      <c r="E18" s="66" t="s">
        <v>653</v>
      </c>
      <c r="F18" s="59"/>
      <c r="G18" s="59"/>
      <c r="H18" s="59"/>
      <c r="I18" s="67" t="s">
        <v>654</v>
      </c>
      <c r="J18" s="68">
        <f>1-C35-E35-G35-C37</f>
        <v>0.9435</v>
      </c>
      <c r="K18" s="64"/>
    </row>
    <row r="19" spans="1:11" s="57" customFormat="1" ht="12.75">
      <c r="A19" s="63"/>
      <c r="B19" s="59"/>
      <c r="C19" s="59"/>
      <c r="D19" s="59"/>
      <c r="E19" s="59"/>
      <c r="F19" s="59"/>
      <c r="G19" s="59"/>
      <c r="H19" s="59"/>
      <c r="I19" s="59"/>
      <c r="J19" s="59"/>
      <c r="K19" s="64"/>
    </row>
    <row r="20" spans="1:11" s="57" customFormat="1" ht="12.75">
      <c r="A20" s="63" t="s">
        <v>655</v>
      </c>
      <c r="B20" s="59"/>
      <c r="C20" s="59"/>
      <c r="D20" s="59"/>
      <c r="E20" s="59"/>
      <c r="F20" s="59"/>
      <c r="G20" s="59"/>
      <c r="H20" s="59"/>
      <c r="I20" s="59"/>
      <c r="J20" s="59"/>
      <c r="K20" s="64"/>
    </row>
    <row r="21" spans="1:11" s="57" customFormat="1" ht="13.5" thickBot="1">
      <c r="A21" s="63"/>
      <c r="B21" s="59"/>
      <c r="C21" s="59"/>
      <c r="D21" s="59"/>
      <c r="E21" s="59"/>
      <c r="F21" s="59"/>
      <c r="G21" s="59"/>
      <c r="H21" s="59"/>
      <c r="I21" s="59"/>
      <c r="J21" s="59"/>
      <c r="K21" s="64"/>
    </row>
    <row r="22" spans="1:11" s="57" customFormat="1" ht="13.5" thickBot="1">
      <c r="A22" s="63"/>
      <c r="B22" s="65">
        <v>0.057</v>
      </c>
      <c r="C22" s="59"/>
      <c r="D22" s="59"/>
      <c r="E22" s="59"/>
      <c r="F22" s="59"/>
      <c r="G22" s="59"/>
      <c r="H22" s="59"/>
      <c r="I22" s="59"/>
      <c r="J22" s="59"/>
      <c r="K22" s="64"/>
    </row>
    <row r="23" spans="1:11" s="57" customFormat="1" ht="12.75">
      <c r="A23" s="63"/>
      <c r="B23" s="59"/>
      <c r="C23" s="59"/>
      <c r="D23" s="59"/>
      <c r="E23" s="59"/>
      <c r="F23" s="59"/>
      <c r="G23" s="59"/>
      <c r="H23" s="59"/>
      <c r="I23" s="59"/>
      <c r="J23" s="59"/>
      <c r="K23" s="64"/>
    </row>
    <row r="24" spans="1:11" s="57" customFormat="1" ht="12.75">
      <c r="A24" s="63" t="s">
        <v>656</v>
      </c>
      <c r="B24" s="59"/>
      <c r="C24" s="59"/>
      <c r="D24" s="59"/>
      <c r="E24" s="59"/>
      <c r="F24" s="59"/>
      <c r="G24" s="59"/>
      <c r="H24" s="59"/>
      <c r="I24" s="59"/>
      <c r="J24" s="59"/>
      <c r="K24" s="64"/>
    </row>
    <row r="25" spans="1:11" s="57" customFormat="1" ht="13.5" thickBot="1">
      <c r="A25" s="63"/>
      <c r="B25" s="59"/>
      <c r="C25" s="59"/>
      <c r="D25" s="59"/>
      <c r="E25" s="59"/>
      <c r="F25" s="59"/>
      <c r="G25" s="59"/>
      <c r="H25" s="59"/>
      <c r="I25" s="59"/>
      <c r="J25" s="59"/>
      <c r="K25" s="64"/>
    </row>
    <row r="26" spans="1:11" s="57" customFormat="1" ht="13.5" thickBot="1">
      <c r="A26" s="63"/>
      <c r="B26" s="65">
        <v>0.0695</v>
      </c>
      <c r="C26" s="59"/>
      <c r="D26" s="59"/>
      <c r="E26" s="59"/>
      <c r="F26" s="59"/>
      <c r="G26" s="59"/>
      <c r="H26" s="59"/>
      <c r="I26" s="59"/>
      <c r="J26" s="59"/>
      <c r="K26" s="64"/>
    </row>
    <row r="27" spans="1:11" s="57" customFormat="1" ht="12.75">
      <c r="A27" s="63"/>
      <c r="B27" s="59"/>
      <c r="C27" s="59"/>
      <c r="D27" s="59"/>
      <c r="E27" s="59"/>
      <c r="F27" s="59"/>
      <c r="G27" s="59"/>
      <c r="H27" s="59"/>
      <c r="I27" s="59"/>
      <c r="J27" s="59"/>
      <c r="K27" s="64"/>
    </row>
    <row r="28" spans="1:11" s="57" customFormat="1" ht="12.75">
      <c r="A28" s="63" t="s">
        <v>657</v>
      </c>
      <c r="B28" s="59"/>
      <c r="C28" s="59"/>
      <c r="D28" s="59"/>
      <c r="E28" s="59"/>
      <c r="F28" s="59"/>
      <c r="G28" s="59"/>
      <c r="H28" s="59"/>
      <c r="I28" s="59"/>
      <c r="J28" s="59"/>
      <c r="K28" s="64"/>
    </row>
    <row r="29" spans="1:11" s="57" customFormat="1" ht="13.5" thickBot="1">
      <c r="A29" s="63"/>
      <c r="B29" s="59"/>
      <c r="C29" s="59"/>
      <c r="D29" s="59"/>
      <c r="E29" s="59"/>
      <c r="F29" s="59"/>
      <c r="G29" s="59"/>
      <c r="H29" s="59"/>
      <c r="I29" s="59"/>
      <c r="J29" s="59"/>
      <c r="K29" s="64"/>
    </row>
    <row r="30" spans="1:11" s="57" customFormat="1" ht="13.5" thickBot="1">
      <c r="A30" s="63"/>
      <c r="B30" s="65">
        <v>0.0035</v>
      </c>
      <c r="C30" s="59"/>
      <c r="D30" s="59"/>
      <c r="E30" s="59"/>
      <c r="F30" s="59"/>
      <c r="G30" s="59"/>
      <c r="H30" s="59"/>
      <c r="I30" s="59"/>
      <c r="J30" s="59"/>
      <c r="K30" s="64"/>
    </row>
    <row r="31" spans="1:11" s="57" customFormat="1" ht="12.75">
      <c r="A31" s="63"/>
      <c r="B31" s="69"/>
      <c r="C31" s="59"/>
      <c r="D31" s="59"/>
      <c r="E31" s="59"/>
      <c r="F31" s="59"/>
      <c r="G31" s="59"/>
      <c r="H31" s="59"/>
      <c r="I31" s="59"/>
      <c r="J31" s="59"/>
      <c r="K31" s="64"/>
    </row>
    <row r="32" spans="1:11" s="57" customFormat="1" ht="25.5" customHeight="1">
      <c r="A32" s="282" t="s">
        <v>658</v>
      </c>
      <c r="B32" s="283"/>
      <c r="C32" s="283"/>
      <c r="D32" s="283"/>
      <c r="E32" s="283"/>
      <c r="F32" s="283"/>
      <c r="G32" s="283"/>
      <c r="H32" s="283"/>
      <c r="I32" s="283"/>
      <c r="J32" s="283"/>
      <c r="K32" s="284"/>
    </row>
    <row r="33" spans="1:11" s="57" customFormat="1" ht="12.75">
      <c r="A33" s="70" t="s">
        <v>659</v>
      </c>
      <c r="B33" s="59"/>
      <c r="C33" s="59"/>
      <c r="D33" s="59"/>
      <c r="E33" s="59"/>
      <c r="F33" s="59"/>
      <c r="G33" s="59"/>
      <c r="H33" s="59"/>
      <c r="I33" s="59"/>
      <c r="J33" s="59"/>
      <c r="K33" s="64"/>
    </row>
    <row r="34" spans="1:11" s="57" customFormat="1" ht="13.5" thickBot="1">
      <c r="A34" s="63"/>
      <c r="B34" s="59"/>
      <c r="C34" s="59"/>
      <c r="D34" s="59"/>
      <c r="E34" s="59"/>
      <c r="F34" s="59"/>
      <c r="G34" s="59"/>
      <c r="H34" s="59"/>
      <c r="I34" s="59"/>
      <c r="J34" s="59"/>
      <c r="K34" s="64"/>
    </row>
    <row r="35" spans="1:11" s="57" customFormat="1" ht="13.5" thickBot="1">
      <c r="A35" s="63"/>
      <c r="B35" s="59" t="s">
        <v>660</v>
      </c>
      <c r="C35" s="65">
        <v>0.03</v>
      </c>
      <c r="D35" s="71" t="s">
        <v>661</v>
      </c>
      <c r="E35" s="65">
        <v>0.0065</v>
      </c>
      <c r="F35" s="71" t="s">
        <v>662</v>
      </c>
      <c r="G35" s="65">
        <v>0.02</v>
      </c>
      <c r="H35" s="59"/>
      <c r="I35" s="59"/>
      <c r="J35" s="72"/>
      <c r="K35" s="64"/>
    </row>
    <row r="36" spans="1:11" s="57" customFormat="1" ht="13.5" thickBot="1">
      <c r="A36" s="63"/>
      <c r="B36" s="59"/>
      <c r="C36" s="59"/>
      <c r="D36" s="59"/>
      <c r="E36" s="59"/>
      <c r="F36" s="59"/>
      <c r="G36" s="59"/>
      <c r="H36" s="59"/>
      <c r="I36" s="59"/>
      <c r="J36" s="72"/>
      <c r="K36" s="64"/>
    </row>
    <row r="37" spans="1:11" s="57" customFormat="1" ht="13.5" thickBot="1">
      <c r="A37" s="63"/>
      <c r="B37" s="59" t="s">
        <v>663</v>
      </c>
      <c r="C37" s="65">
        <v>0</v>
      </c>
      <c r="D37" s="59"/>
      <c r="E37" s="59"/>
      <c r="F37" s="69"/>
      <c r="G37" s="59"/>
      <c r="H37" s="59"/>
      <c r="I37" s="72"/>
      <c r="J37" s="59"/>
      <c r="K37" s="64"/>
    </row>
    <row r="38" spans="1:11" s="57" customFormat="1" ht="12.75">
      <c r="A38" s="63"/>
      <c r="B38" s="59"/>
      <c r="C38" s="59"/>
      <c r="D38" s="59"/>
      <c r="E38" s="59"/>
      <c r="F38" s="59"/>
      <c r="G38" s="59"/>
      <c r="H38" s="59"/>
      <c r="I38" s="59"/>
      <c r="J38" s="59"/>
      <c r="K38" s="64"/>
    </row>
    <row r="39" spans="1:11" s="57" customFormat="1" ht="15.75">
      <c r="A39" s="63"/>
      <c r="B39" s="73"/>
      <c r="C39" s="73" t="s">
        <v>664</v>
      </c>
      <c r="D39" s="74">
        <f>(J15*J16*J17/J18)-1</f>
        <v>0.23467512162162163</v>
      </c>
      <c r="E39" s="59"/>
      <c r="F39" s="59"/>
      <c r="G39" s="59"/>
      <c r="H39" s="59"/>
      <c r="I39" s="59"/>
      <c r="J39" s="59"/>
      <c r="K39" s="64"/>
    </row>
    <row r="40" spans="1:11" ht="13.5" thickBot="1">
      <c r="A40" s="75"/>
      <c r="B40" s="76"/>
      <c r="C40" s="76"/>
      <c r="D40" s="76"/>
      <c r="E40" s="76"/>
      <c r="F40" s="76"/>
      <c r="G40" s="76"/>
      <c r="H40" s="76"/>
      <c r="I40" s="76"/>
      <c r="J40" s="76"/>
      <c r="K40" s="77"/>
    </row>
  </sheetData>
  <sheetProtection password="F751" sheet="1" objects="1" scenarios="1"/>
  <mergeCells count="9">
    <mergeCell ref="A1:K1"/>
    <mergeCell ref="A2:K2"/>
    <mergeCell ref="A4:K4"/>
    <mergeCell ref="A5:I5"/>
    <mergeCell ref="J9:K9"/>
    <mergeCell ref="A10:C10"/>
    <mergeCell ref="A32:K32"/>
    <mergeCell ref="F8:H8"/>
    <mergeCell ref="I8:K8"/>
  </mergeCells>
  <printOptions/>
  <pageMargins left="0.7874015748031497" right="0.3937007874015748" top="0.7874015748031497" bottom="0.7874015748031497" header="0.5118110236220472" footer="0.5118110236220472"/>
  <pageSetup horizontalDpi="600" verticalDpi="600" orientation="portrait" paperSize="9" scale="85" r:id="rId4"/>
  <headerFooter alignWithMargins="0">
    <oddFooter>&amp;CPágina &amp;P de &amp;N</oddFooter>
  </headerFooter>
  <legacyDrawing r:id="rId3"/>
  <oleObjects>
    <oleObject progId="Word.Picture.8" shapeId="609535" r:id="rId1"/>
    <oleObject progId="Word.Picture.8" shapeId="609536" r:id="rId2"/>
  </oleObjects>
</worksheet>
</file>

<file path=xl/worksheets/sheet4.xml><?xml version="1.0" encoding="utf-8"?>
<worksheet xmlns="http://schemas.openxmlformats.org/spreadsheetml/2006/main" xmlns:r="http://schemas.openxmlformats.org/officeDocument/2006/relationships">
  <dimension ref="A1:K42"/>
  <sheetViews>
    <sheetView zoomScale="75" zoomScaleNormal="75" workbookViewId="0" topLeftCell="A1">
      <selection activeCell="A16" sqref="A16"/>
    </sheetView>
  </sheetViews>
  <sheetFormatPr defaultColWidth="9.140625" defaultRowHeight="12.75"/>
  <cols>
    <col min="1" max="1" width="14.140625" style="0" customWidth="1"/>
    <col min="2" max="2" width="44.421875" style="0" customWidth="1"/>
    <col min="3" max="3" width="8.7109375" style="0" customWidth="1"/>
    <col min="5" max="5" width="8.00390625" style="0" customWidth="1"/>
    <col min="6" max="6" width="10.8515625" style="0" customWidth="1"/>
    <col min="7" max="7" width="8.140625" style="0" customWidth="1"/>
    <col min="8" max="8" width="10.8515625" style="0" customWidth="1"/>
    <col min="9" max="9" width="18.421875" style="0" customWidth="1"/>
  </cols>
  <sheetData>
    <row r="1" spans="1:9" ht="23.25">
      <c r="A1" s="258" t="s">
        <v>31</v>
      </c>
      <c r="B1" s="258"/>
      <c r="C1" s="258"/>
      <c r="D1" s="258"/>
      <c r="E1" s="258"/>
      <c r="F1" s="258"/>
      <c r="G1" s="258"/>
      <c r="H1" s="258"/>
      <c r="I1" s="258"/>
    </row>
    <row r="2" spans="1:9" ht="23.25">
      <c r="A2" s="259" t="s">
        <v>32</v>
      </c>
      <c r="B2" s="259"/>
      <c r="C2" s="259"/>
      <c r="D2" s="259"/>
      <c r="E2" s="259"/>
      <c r="F2" s="259"/>
      <c r="G2" s="259"/>
      <c r="H2" s="259"/>
      <c r="I2" s="259"/>
    </row>
    <row r="3" spans="1:7" ht="23.25">
      <c r="A3" s="1"/>
      <c r="B3" s="1"/>
      <c r="C3" s="1"/>
      <c r="D3" s="1"/>
      <c r="E3" s="1"/>
      <c r="F3" s="1"/>
      <c r="G3" s="1"/>
    </row>
    <row r="4" spans="1:9" ht="12.75">
      <c r="A4" s="310" t="s">
        <v>392</v>
      </c>
      <c r="B4" s="310"/>
      <c r="C4" s="310"/>
      <c r="D4" s="310"/>
      <c r="E4" s="310"/>
      <c r="F4" s="310"/>
      <c r="G4" s="310"/>
      <c r="H4" s="310"/>
      <c r="I4" s="310"/>
    </row>
    <row r="5" spans="1:9" ht="12.75">
      <c r="A5" s="310"/>
      <c r="B5" s="310"/>
      <c r="C5" s="310"/>
      <c r="D5" s="310"/>
      <c r="E5" s="310"/>
      <c r="F5" s="310"/>
      <c r="G5" s="310"/>
      <c r="H5" s="310"/>
      <c r="I5" s="310"/>
    </row>
    <row r="6" spans="1:9" ht="18">
      <c r="A6" s="311" t="s">
        <v>341</v>
      </c>
      <c r="B6" s="312"/>
      <c r="C6" s="312"/>
      <c r="D6" s="312"/>
      <c r="E6" s="312"/>
      <c r="F6" s="312"/>
      <c r="G6" s="312"/>
      <c r="H6" s="312"/>
      <c r="I6" s="312"/>
    </row>
    <row r="7" spans="1:9" ht="18">
      <c r="A7" s="268" t="s">
        <v>393</v>
      </c>
      <c r="B7" s="269"/>
      <c r="C7" s="269"/>
      <c r="D7" s="270"/>
      <c r="E7" s="305" t="s">
        <v>394</v>
      </c>
      <c r="F7" s="306"/>
      <c r="G7" s="306"/>
      <c r="H7" s="306"/>
      <c r="I7" s="307"/>
    </row>
    <row r="8" spans="1:9" ht="15">
      <c r="A8" s="271" t="s">
        <v>271</v>
      </c>
      <c r="B8" s="254"/>
      <c r="C8" s="254"/>
      <c r="D8" s="254"/>
      <c r="E8" s="254"/>
      <c r="F8" s="254"/>
      <c r="G8" s="254"/>
      <c r="H8" s="254"/>
      <c r="I8" s="255"/>
    </row>
    <row r="9" spans="1:9" ht="15">
      <c r="A9" s="271" t="s">
        <v>33</v>
      </c>
      <c r="B9" s="254"/>
      <c r="C9" s="254"/>
      <c r="D9" s="255"/>
      <c r="E9" s="204" t="s">
        <v>34</v>
      </c>
      <c r="F9" s="205"/>
      <c r="G9" s="206"/>
      <c r="H9" s="308" t="s">
        <v>395</v>
      </c>
      <c r="I9" s="309"/>
    </row>
    <row r="10" spans="1:9" ht="15.75" customHeight="1">
      <c r="A10" s="264" t="s">
        <v>396</v>
      </c>
      <c r="B10" s="272"/>
      <c r="C10" s="272"/>
      <c r="D10" s="272"/>
      <c r="E10" s="272"/>
      <c r="F10" s="272"/>
      <c r="G10" s="273"/>
      <c r="H10" s="207"/>
      <c r="I10" s="208"/>
    </row>
    <row r="11" spans="1:9" ht="15.75" customHeight="1">
      <c r="A11" s="299" t="s">
        <v>397</v>
      </c>
      <c r="B11" s="300"/>
      <c r="C11" s="300"/>
      <c r="D11" s="300"/>
      <c r="E11" s="301" t="s">
        <v>398</v>
      </c>
      <c r="F11" s="302"/>
      <c r="G11" s="302"/>
      <c r="H11" s="303">
        <v>40933</v>
      </c>
      <c r="I11" s="304"/>
    </row>
    <row r="12" ht="6" customHeight="1"/>
    <row r="13" spans="1:9" ht="25.5">
      <c r="A13" s="209" t="s">
        <v>523</v>
      </c>
      <c r="B13" s="210" t="s">
        <v>524</v>
      </c>
      <c r="C13" s="211" t="s">
        <v>399</v>
      </c>
      <c r="D13" s="211" t="s">
        <v>525</v>
      </c>
      <c r="E13" s="212" t="s">
        <v>526</v>
      </c>
      <c r="F13" s="213" t="s">
        <v>400</v>
      </c>
      <c r="G13" s="214" t="s">
        <v>401</v>
      </c>
      <c r="H13" s="214" t="s">
        <v>402</v>
      </c>
      <c r="I13" s="214" t="s">
        <v>403</v>
      </c>
    </row>
    <row r="14" spans="1:9" ht="12.75" customHeight="1">
      <c r="A14" s="215">
        <v>34000</v>
      </c>
      <c r="B14" s="295" t="s">
        <v>404</v>
      </c>
      <c r="C14" s="295"/>
      <c r="D14" s="295"/>
      <c r="E14" s="295"/>
      <c r="F14" s="295"/>
      <c r="G14" s="295"/>
      <c r="H14" s="295"/>
      <c r="I14" s="216">
        <f>SUM(I15:I16)</f>
        <v>9118.66786</v>
      </c>
    </row>
    <row r="15" spans="1:9" ht="51">
      <c r="A15" s="217">
        <v>34001</v>
      </c>
      <c r="B15" s="218" t="s">
        <v>405</v>
      </c>
      <c r="C15" s="219" t="s">
        <v>406</v>
      </c>
      <c r="D15" s="220" t="s">
        <v>539</v>
      </c>
      <c r="E15" s="221">
        <v>1</v>
      </c>
      <c r="F15" s="222">
        <v>969</v>
      </c>
      <c r="G15" s="223" t="s">
        <v>407</v>
      </c>
      <c r="H15" s="221">
        <f>F15*0.1093</f>
        <v>105.9117</v>
      </c>
      <c r="I15" s="221">
        <f>(H15+F15)*E15</f>
        <v>1074.9117</v>
      </c>
    </row>
    <row r="16" spans="1:9" ht="51">
      <c r="A16" s="217">
        <v>34002</v>
      </c>
      <c r="B16" s="218" t="s">
        <v>408</v>
      </c>
      <c r="C16" s="219" t="s">
        <v>406</v>
      </c>
      <c r="D16" s="220" t="s">
        <v>539</v>
      </c>
      <c r="E16" s="221">
        <v>4</v>
      </c>
      <c r="F16" s="221">
        <v>1812.8</v>
      </c>
      <c r="G16" s="223" t="s">
        <v>407</v>
      </c>
      <c r="H16" s="221">
        <f>F16*0.1093</f>
        <v>198.13904</v>
      </c>
      <c r="I16" s="221">
        <f>(H16+F16)*E16</f>
        <v>8043.75616</v>
      </c>
    </row>
    <row r="17" spans="1:9" ht="12.75" customHeight="1">
      <c r="A17" s="224">
        <v>34100</v>
      </c>
      <c r="B17" s="296" t="s">
        <v>409</v>
      </c>
      <c r="C17" s="296"/>
      <c r="D17" s="296"/>
      <c r="E17" s="296"/>
      <c r="F17" s="296"/>
      <c r="G17" s="296"/>
      <c r="H17" s="296"/>
      <c r="I17" s="225">
        <f>SUM(I18:I31)</f>
        <v>1116.5397441</v>
      </c>
    </row>
    <row r="18" spans="1:9" ht="12.75">
      <c r="A18" s="226">
        <v>34001</v>
      </c>
      <c r="B18" s="227" t="s">
        <v>410</v>
      </c>
      <c r="C18" s="219" t="s">
        <v>406</v>
      </c>
      <c r="D18" s="228" t="s">
        <v>411</v>
      </c>
      <c r="E18" s="221">
        <v>2</v>
      </c>
      <c r="F18" s="221">
        <v>42.83</v>
      </c>
      <c r="G18" s="221">
        <f aca="true" t="shared" si="0" ref="G18:G31">F18*0.2462</f>
        <v>10.544746</v>
      </c>
      <c r="H18" s="223" t="s">
        <v>407</v>
      </c>
      <c r="I18" s="221">
        <f aca="true" t="shared" si="1" ref="I18:I31">(G18+F18)*E18</f>
        <v>106.749492</v>
      </c>
    </row>
    <row r="19" spans="1:9" ht="12.75">
      <c r="A19" s="226">
        <v>34002</v>
      </c>
      <c r="B19" s="227" t="s">
        <v>412</v>
      </c>
      <c r="C19" s="219" t="s">
        <v>406</v>
      </c>
      <c r="D19" s="228" t="s">
        <v>411</v>
      </c>
      <c r="E19" s="221">
        <v>4</v>
      </c>
      <c r="F19" s="221">
        <v>42.8</v>
      </c>
      <c r="G19" s="221">
        <f t="shared" si="0"/>
        <v>10.53736</v>
      </c>
      <c r="H19" s="223" t="s">
        <v>407</v>
      </c>
      <c r="I19" s="221">
        <f t="shared" si="1"/>
        <v>213.34944</v>
      </c>
    </row>
    <row r="20" spans="1:9" ht="12.75">
      <c r="A20" s="226">
        <v>34003</v>
      </c>
      <c r="B20" s="227" t="s">
        <v>413</v>
      </c>
      <c r="C20" s="219" t="s">
        <v>406</v>
      </c>
      <c r="D20" s="228" t="s">
        <v>411</v>
      </c>
      <c r="E20" s="221">
        <v>4</v>
      </c>
      <c r="F20" s="221">
        <v>42.68</v>
      </c>
      <c r="G20" s="221">
        <f t="shared" si="0"/>
        <v>10.507816</v>
      </c>
      <c r="H20" s="223" t="s">
        <v>407</v>
      </c>
      <c r="I20" s="221">
        <f t="shared" si="1"/>
        <v>212.751264</v>
      </c>
    </row>
    <row r="21" spans="1:9" ht="12.75">
      <c r="A21" s="226">
        <v>34004</v>
      </c>
      <c r="B21" s="227" t="s">
        <v>414</v>
      </c>
      <c r="C21" s="219" t="s">
        <v>406</v>
      </c>
      <c r="D21" s="228" t="s">
        <v>415</v>
      </c>
      <c r="E21" s="221">
        <v>8</v>
      </c>
      <c r="F21" s="221">
        <v>5.19</v>
      </c>
      <c r="G21" s="221">
        <f t="shared" si="0"/>
        <v>1.277778</v>
      </c>
      <c r="H21" s="223" t="s">
        <v>407</v>
      </c>
      <c r="I21" s="221">
        <f t="shared" si="1"/>
        <v>51.74222400000001</v>
      </c>
    </row>
    <row r="22" spans="1:9" ht="12.75">
      <c r="A22" s="226">
        <v>34005</v>
      </c>
      <c r="B22" s="227" t="s">
        <v>416</v>
      </c>
      <c r="C22" s="219" t="s">
        <v>406</v>
      </c>
      <c r="D22" s="228" t="s">
        <v>415</v>
      </c>
      <c r="E22" s="221">
        <v>16</v>
      </c>
      <c r="F22" s="221">
        <v>4.13</v>
      </c>
      <c r="G22" s="221">
        <f t="shared" si="0"/>
        <v>1.0168059999999999</v>
      </c>
      <c r="H22" s="223" t="s">
        <v>407</v>
      </c>
      <c r="I22" s="221">
        <f t="shared" si="1"/>
        <v>82.348896</v>
      </c>
    </row>
    <row r="23" spans="1:9" ht="12.75">
      <c r="A23" s="226">
        <v>34006</v>
      </c>
      <c r="B23" s="227" t="s">
        <v>417</v>
      </c>
      <c r="C23" s="219" t="s">
        <v>406</v>
      </c>
      <c r="D23" s="228" t="s">
        <v>415</v>
      </c>
      <c r="E23" s="221">
        <v>8</v>
      </c>
      <c r="F23" s="221">
        <v>7.24</v>
      </c>
      <c r="G23" s="221">
        <f t="shared" si="0"/>
        <v>1.782488</v>
      </c>
      <c r="H23" s="223" t="s">
        <v>407</v>
      </c>
      <c r="I23" s="221">
        <f t="shared" si="1"/>
        <v>72.17990400000001</v>
      </c>
    </row>
    <row r="24" spans="1:9" ht="12.75">
      <c r="A24" s="226">
        <v>34007</v>
      </c>
      <c r="B24" s="227" t="s">
        <v>418</v>
      </c>
      <c r="C24" s="219" t="s">
        <v>406</v>
      </c>
      <c r="D24" s="228" t="s">
        <v>415</v>
      </c>
      <c r="E24" s="221">
        <v>5</v>
      </c>
      <c r="F24" s="221">
        <v>13.5</v>
      </c>
      <c r="G24" s="221">
        <f t="shared" si="0"/>
        <v>3.3237</v>
      </c>
      <c r="H24" s="223" t="s">
        <v>407</v>
      </c>
      <c r="I24" s="221">
        <f t="shared" si="1"/>
        <v>84.1185</v>
      </c>
    </row>
    <row r="25" spans="1:9" ht="12.75">
      <c r="A25" s="226">
        <v>34008</v>
      </c>
      <c r="B25" s="227" t="s">
        <v>419</v>
      </c>
      <c r="C25" s="219" t="s">
        <v>406</v>
      </c>
      <c r="D25" s="228" t="s">
        <v>415</v>
      </c>
      <c r="E25" s="221">
        <v>5</v>
      </c>
      <c r="F25" s="221">
        <v>8.5</v>
      </c>
      <c r="G25" s="221">
        <f t="shared" si="0"/>
        <v>2.0927000000000002</v>
      </c>
      <c r="H25" s="223" t="s">
        <v>407</v>
      </c>
      <c r="I25" s="221">
        <f t="shared" si="1"/>
        <v>52.9635</v>
      </c>
    </row>
    <row r="26" spans="1:9" ht="12.75">
      <c r="A26" s="226">
        <v>34009</v>
      </c>
      <c r="B26" s="227" t="s">
        <v>420</v>
      </c>
      <c r="C26" s="219" t="s">
        <v>406</v>
      </c>
      <c r="D26" s="228" t="s">
        <v>539</v>
      </c>
      <c r="E26" s="221">
        <v>27</v>
      </c>
      <c r="F26" s="221">
        <v>2.31</v>
      </c>
      <c r="G26" s="221">
        <f t="shared" si="0"/>
        <v>0.5687220000000001</v>
      </c>
      <c r="H26" s="223" t="s">
        <v>407</v>
      </c>
      <c r="I26" s="221">
        <f t="shared" si="1"/>
        <v>77.72549400000001</v>
      </c>
    </row>
    <row r="27" spans="1:9" ht="12.75">
      <c r="A27" s="226">
        <v>34010</v>
      </c>
      <c r="B27" s="227" t="s">
        <v>421</v>
      </c>
      <c r="C27" s="219" t="s">
        <v>406</v>
      </c>
      <c r="D27" s="228" t="s">
        <v>539</v>
      </c>
      <c r="E27" s="221">
        <v>54</v>
      </c>
      <c r="F27" s="221">
        <v>0.1</v>
      </c>
      <c r="G27" s="221">
        <f t="shared" si="0"/>
        <v>0.024620000000000003</v>
      </c>
      <c r="H27" s="223" t="s">
        <v>407</v>
      </c>
      <c r="I27" s="221">
        <f t="shared" si="1"/>
        <v>6.729480000000001</v>
      </c>
    </row>
    <row r="28" spans="1:9" ht="12.75">
      <c r="A28" s="226">
        <v>34011</v>
      </c>
      <c r="B28" s="227" t="s">
        <v>422</v>
      </c>
      <c r="C28" s="219" t="s">
        <v>406</v>
      </c>
      <c r="D28" s="228" t="s">
        <v>539</v>
      </c>
      <c r="E28" s="221">
        <v>54</v>
      </c>
      <c r="F28" s="221">
        <v>0.2</v>
      </c>
      <c r="G28" s="221">
        <f t="shared" si="0"/>
        <v>0.049240000000000006</v>
      </c>
      <c r="H28" s="223" t="s">
        <v>407</v>
      </c>
      <c r="I28" s="221">
        <f t="shared" si="1"/>
        <v>13.458960000000001</v>
      </c>
    </row>
    <row r="29" spans="1:9" ht="12.75">
      <c r="A29" s="226">
        <v>34012</v>
      </c>
      <c r="B29" s="227" t="s">
        <v>423</v>
      </c>
      <c r="C29" s="219" t="s">
        <v>406</v>
      </c>
      <c r="D29" s="228" t="s">
        <v>424</v>
      </c>
      <c r="E29" s="221">
        <v>3</v>
      </c>
      <c r="F29" s="221">
        <v>8.591</v>
      </c>
      <c r="G29" s="221">
        <f t="shared" si="0"/>
        <v>2.1151041999999998</v>
      </c>
      <c r="H29" s="223" t="s">
        <v>407</v>
      </c>
      <c r="I29" s="221">
        <f t="shared" si="1"/>
        <v>32.118312599999996</v>
      </c>
    </row>
    <row r="30" spans="1:9" ht="12.75">
      <c r="A30" s="226">
        <v>34013</v>
      </c>
      <c r="B30" s="227" t="s">
        <v>425</v>
      </c>
      <c r="C30" s="219" t="s">
        <v>406</v>
      </c>
      <c r="D30" s="228" t="s">
        <v>424</v>
      </c>
      <c r="E30" s="221">
        <v>5</v>
      </c>
      <c r="F30" s="221">
        <v>14.32</v>
      </c>
      <c r="G30" s="221">
        <f t="shared" si="0"/>
        <v>3.5255840000000003</v>
      </c>
      <c r="H30" s="223" t="s">
        <v>407</v>
      </c>
      <c r="I30" s="221">
        <f>(G30+F30)*E30</f>
        <v>89.22792000000001</v>
      </c>
    </row>
    <row r="31" spans="1:9" ht="12.75">
      <c r="A31" s="226">
        <v>34014</v>
      </c>
      <c r="B31" s="227" t="s">
        <v>426</v>
      </c>
      <c r="C31" s="219" t="s">
        <v>406</v>
      </c>
      <c r="D31" s="228" t="s">
        <v>427</v>
      </c>
      <c r="E31" s="221">
        <v>0.5</v>
      </c>
      <c r="F31" s="221">
        <v>33.825</v>
      </c>
      <c r="G31" s="221">
        <f t="shared" si="0"/>
        <v>8.327715000000001</v>
      </c>
      <c r="H31" s="223" t="s">
        <v>407</v>
      </c>
      <c r="I31" s="221">
        <f t="shared" si="1"/>
        <v>21.0763575</v>
      </c>
    </row>
    <row r="32" spans="1:11" ht="12.75" customHeight="1">
      <c r="A32" s="224">
        <v>34200</v>
      </c>
      <c r="B32" s="297" t="s">
        <v>428</v>
      </c>
      <c r="C32" s="296"/>
      <c r="D32" s="296"/>
      <c r="E32" s="296"/>
      <c r="F32" s="296"/>
      <c r="G32" s="296"/>
      <c r="H32" s="296"/>
      <c r="I32" s="229">
        <f>SUM(I33:I35)</f>
        <v>4070.0892000000003</v>
      </c>
      <c r="K32" s="230"/>
    </row>
    <row r="33" spans="1:9" ht="12.75">
      <c r="A33" s="231">
        <v>34201</v>
      </c>
      <c r="B33" s="232" t="s">
        <v>429</v>
      </c>
      <c r="C33" s="219" t="s">
        <v>406</v>
      </c>
      <c r="D33" s="228" t="s">
        <v>539</v>
      </c>
      <c r="E33" s="221">
        <v>20</v>
      </c>
      <c r="F33" s="222">
        <v>7.8</v>
      </c>
      <c r="G33" s="221">
        <f>F33*0.2462</f>
        <v>1.92036</v>
      </c>
      <c r="H33" s="223" t="s">
        <v>407</v>
      </c>
      <c r="I33" s="221">
        <f>(G33+F33)*E33</f>
        <v>194.4072</v>
      </c>
    </row>
    <row r="34" spans="1:9" ht="25.5">
      <c r="A34" s="231">
        <v>34202</v>
      </c>
      <c r="B34" s="233" t="s">
        <v>430</v>
      </c>
      <c r="C34" s="219" t="s">
        <v>406</v>
      </c>
      <c r="D34" s="228" t="s">
        <v>539</v>
      </c>
      <c r="E34" s="221">
        <v>5</v>
      </c>
      <c r="F34" s="222">
        <v>72</v>
      </c>
      <c r="G34" s="221">
        <f>F34*0.2462</f>
        <v>17.7264</v>
      </c>
      <c r="H34" s="223" t="s">
        <v>407</v>
      </c>
      <c r="I34" s="221">
        <f>(G34+F34)*E34</f>
        <v>448.632</v>
      </c>
    </row>
    <row r="35" spans="1:9" ht="28.5" customHeight="1">
      <c r="A35" s="231">
        <v>34203</v>
      </c>
      <c r="B35" s="233" t="s">
        <v>431</v>
      </c>
      <c r="C35" s="219" t="s">
        <v>406</v>
      </c>
      <c r="D35" s="228" t="s">
        <v>539</v>
      </c>
      <c r="E35" s="221">
        <v>1</v>
      </c>
      <c r="F35" s="222">
        <v>2750</v>
      </c>
      <c r="G35" s="221">
        <f>F35*0.2462</f>
        <v>677.05</v>
      </c>
      <c r="H35" s="223" t="s">
        <v>407</v>
      </c>
      <c r="I35" s="221">
        <f>(G35+F35)*E35</f>
        <v>3427.05</v>
      </c>
    </row>
    <row r="36" spans="1:9" ht="12.75" customHeight="1">
      <c r="A36" s="215">
        <v>34300</v>
      </c>
      <c r="B36" s="298" t="s">
        <v>432</v>
      </c>
      <c r="C36" s="297"/>
      <c r="D36" s="296"/>
      <c r="E36" s="296"/>
      <c r="F36" s="296"/>
      <c r="G36" s="296"/>
      <c r="H36" s="296"/>
      <c r="I36" s="229">
        <f>SUM(I37:I38)</f>
        <v>1495.44</v>
      </c>
    </row>
    <row r="37" spans="1:9" ht="25.5">
      <c r="A37" s="231">
        <v>34301</v>
      </c>
      <c r="B37" s="234" t="s">
        <v>433</v>
      </c>
      <c r="C37" s="235" t="s">
        <v>406</v>
      </c>
      <c r="D37" s="228" t="s">
        <v>539</v>
      </c>
      <c r="E37" s="236">
        <v>1</v>
      </c>
      <c r="F37" s="237">
        <v>800</v>
      </c>
      <c r="G37" s="238">
        <f>F37*0.2462</f>
        <v>196.96</v>
      </c>
      <c r="H37" s="237" t="s">
        <v>407</v>
      </c>
      <c r="I37" s="239">
        <f>(G37+F37)*E37</f>
        <v>996.96</v>
      </c>
    </row>
    <row r="38" spans="1:9" ht="12.75">
      <c r="A38" s="231">
        <v>34302</v>
      </c>
      <c r="B38" s="240" t="s">
        <v>434</v>
      </c>
      <c r="C38" s="235" t="s">
        <v>406</v>
      </c>
      <c r="D38" s="228" t="s">
        <v>539</v>
      </c>
      <c r="E38" s="236">
        <v>1</v>
      </c>
      <c r="F38" s="237">
        <v>400</v>
      </c>
      <c r="G38" s="238">
        <f>F38*0.2462</f>
        <v>98.48</v>
      </c>
      <c r="H38" s="237" t="s">
        <v>407</v>
      </c>
      <c r="I38" s="239">
        <f>(G38+F38)*E38</f>
        <v>498.48</v>
      </c>
    </row>
    <row r="39" spans="1:9" ht="12.75" customHeight="1">
      <c r="A39" s="292" t="s">
        <v>435</v>
      </c>
      <c r="B39" s="292"/>
      <c r="C39" s="292"/>
      <c r="D39" s="293"/>
      <c r="E39" s="293"/>
      <c r="F39" s="293"/>
      <c r="G39" s="293"/>
      <c r="H39" s="293"/>
      <c r="I39" s="241">
        <f>I36+I32+I17+I14</f>
        <v>15800.7368041</v>
      </c>
    </row>
    <row r="40" spans="1:9" ht="12.75">
      <c r="A40" s="242" t="s">
        <v>675</v>
      </c>
      <c r="B40" s="243"/>
      <c r="C40" s="243"/>
      <c r="D40" s="243"/>
      <c r="E40" s="244"/>
      <c r="F40" s="244"/>
      <c r="G40" s="244"/>
      <c r="H40" s="245"/>
      <c r="I40" s="245"/>
    </row>
    <row r="41" spans="1:9" ht="15" customHeight="1">
      <c r="A41" s="294" t="s">
        <v>436</v>
      </c>
      <c r="B41" s="294"/>
      <c r="C41" s="294"/>
      <c r="D41" s="294"/>
      <c r="E41" s="294"/>
      <c r="F41" s="294"/>
      <c r="G41" s="294"/>
      <c r="H41" s="294"/>
      <c r="I41" s="294"/>
    </row>
    <row r="42" spans="1:7" ht="15">
      <c r="A42" s="246"/>
      <c r="B42" s="243"/>
      <c r="C42" s="243"/>
      <c r="D42" s="243"/>
      <c r="E42" s="244"/>
      <c r="F42" s="244"/>
      <c r="G42" s="244"/>
    </row>
  </sheetData>
  <sheetProtection password="F751" sheet="1" objects="1" scenarios="1"/>
  <mergeCells count="19">
    <mergeCell ref="A1:I1"/>
    <mergeCell ref="A2:I2"/>
    <mergeCell ref="A4:I5"/>
    <mergeCell ref="A6:I6"/>
    <mergeCell ref="A7:D7"/>
    <mergeCell ref="E7:I7"/>
    <mergeCell ref="A8:I8"/>
    <mergeCell ref="A9:D9"/>
    <mergeCell ref="H9:I9"/>
    <mergeCell ref="A10:G10"/>
    <mergeCell ref="A11:D11"/>
    <mergeCell ref="E11:G11"/>
    <mergeCell ref="H11:I11"/>
    <mergeCell ref="A39:H39"/>
    <mergeCell ref="A41:I41"/>
    <mergeCell ref="B14:H14"/>
    <mergeCell ref="B17:H17"/>
    <mergeCell ref="B32:H32"/>
    <mergeCell ref="B36:H36"/>
  </mergeCells>
  <printOptions/>
  <pageMargins left="0.75" right="0.75" top="1" bottom="1" header="0.492125985" footer="0.492125985"/>
  <pageSetup horizontalDpi="600" verticalDpi="600" orientation="landscape" scale="90" r:id="rId4"/>
  <legacyDrawing r:id="rId3"/>
  <oleObjects>
    <oleObject progId="Word.Picture.8" shapeId="679119" r:id="rId1"/>
    <oleObject progId="Word.Picture.8" shapeId="679120" r:id="rId2"/>
  </oleObjects>
</worksheet>
</file>

<file path=xl/worksheets/sheet5.xml><?xml version="1.0" encoding="utf-8"?>
<worksheet xmlns="http://schemas.openxmlformats.org/spreadsheetml/2006/main" xmlns:r="http://schemas.openxmlformats.org/officeDocument/2006/relationships">
  <dimension ref="A1:M40"/>
  <sheetViews>
    <sheetView tabSelected="1" zoomScale="75" zoomScaleNormal="75" workbookViewId="0" topLeftCell="A1">
      <selection activeCell="D19" sqref="D19"/>
    </sheetView>
  </sheetViews>
  <sheetFormatPr defaultColWidth="9.140625" defaultRowHeight="12.75"/>
  <cols>
    <col min="1" max="1" width="19.8515625" style="12" customWidth="1"/>
    <col min="2" max="2" width="47.7109375" style="12" customWidth="1"/>
    <col min="3" max="3" width="16.00390625" style="12" customWidth="1"/>
    <col min="4" max="4" width="9.421875" style="12" customWidth="1"/>
    <col min="5" max="5" width="12.421875" style="12" customWidth="1"/>
    <col min="6" max="7" width="9.421875" style="12" customWidth="1"/>
    <col min="8" max="8" width="12.140625" style="12" customWidth="1"/>
    <col min="9" max="10" width="9.421875" style="12" customWidth="1"/>
    <col min="11" max="11" width="12.28125" style="12" customWidth="1"/>
    <col min="12" max="12" width="9.421875" style="12" customWidth="1"/>
    <col min="13" max="13" width="9.28125" style="12" customWidth="1"/>
    <col min="14" max="16384" width="9.140625" style="12" customWidth="1"/>
  </cols>
  <sheetData>
    <row r="1" spans="1:13" ht="23.25">
      <c r="A1" s="258" t="s">
        <v>31</v>
      </c>
      <c r="B1" s="258"/>
      <c r="C1" s="258"/>
      <c r="D1" s="258"/>
      <c r="E1" s="258"/>
      <c r="F1" s="258"/>
      <c r="G1" s="258"/>
      <c r="H1" s="258"/>
      <c r="I1" s="258"/>
      <c r="J1" s="258"/>
      <c r="K1" s="258"/>
      <c r="L1" s="258"/>
      <c r="M1" s="258"/>
    </row>
    <row r="2" spans="1:13" ht="23.25">
      <c r="A2" s="259" t="s">
        <v>32</v>
      </c>
      <c r="B2" s="259"/>
      <c r="C2" s="259"/>
      <c r="D2" s="259"/>
      <c r="E2" s="259"/>
      <c r="F2" s="259"/>
      <c r="G2" s="259"/>
      <c r="H2" s="259"/>
      <c r="I2" s="259"/>
      <c r="J2" s="259"/>
      <c r="K2" s="259"/>
      <c r="L2" s="259"/>
      <c r="M2" s="259"/>
    </row>
    <row r="3" spans="1:7" ht="23.25">
      <c r="A3" s="1"/>
      <c r="B3" s="1"/>
      <c r="C3" s="1"/>
      <c r="D3" s="1"/>
      <c r="E3" s="1"/>
      <c r="F3" s="1"/>
      <c r="G3" s="1"/>
    </row>
    <row r="4" spans="1:13" ht="23.25">
      <c r="A4" s="260" t="s">
        <v>342</v>
      </c>
      <c r="B4" s="261"/>
      <c r="C4" s="261"/>
      <c r="D4" s="261"/>
      <c r="E4" s="261"/>
      <c r="F4" s="261"/>
      <c r="G4" s="261"/>
      <c r="H4" s="261"/>
      <c r="I4" s="261"/>
      <c r="J4" s="261"/>
      <c r="K4" s="261"/>
      <c r="L4" s="261"/>
      <c r="M4" s="262"/>
    </row>
    <row r="5" spans="1:7" ht="6" customHeight="1">
      <c r="A5" s="259"/>
      <c r="B5" s="259"/>
      <c r="C5" s="259"/>
      <c r="D5" s="259"/>
      <c r="E5" s="259"/>
      <c r="F5" s="259"/>
      <c r="G5" s="259"/>
    </row>
    <row r="6" spans="1:13" ht="18" customHeight="1">
      <c r="A6" s="268" t="s">
        <v>341</v>
      </c>
      <c r="B6" s="269"/>
      <c r="C6" s="269"/>
      <c r="D6" s="269"/>
      <c r="E6" s="269"/>
      <c r="F6" s="269"/>
      <c r="G6" s="269"/>
      <c r="H6" s="269"/>
      <c r="I6" s="269"/>
      <c r="J6" s="269"/>
      <c r="K6" s="269"/>
      <c r="L6" s="269"/>
      <c r="M6" s="270"/>
    </row>
    <row r="7" spans="1:13" ht="18" customHeight="1">
      <c r="A7" s="268" t="str">
        <f>'[1]AR CONDICIONADO'!A7:D7</f>
        <v>REFERENCIA : INSTALAÇÕES DE AR CONDICIONADO</v>
      </c>
      <c r="B7" s="269"/>
      <c r="C7" s="269"/>
      <c r="D7" s="269"/>
      <c r="E7" s="269"/>
      <c r="F7" s="269"/>
      <c r="G7" s="270"/>
      <c r="H7" s="305" t="s">
        <v>137</v>
      </c>
      <c r="I7" s="306"/>
      <c r="J7" s="306"/>
      <c r="K7" s="306"/>
      <c r="L7" s="306"/>
      <c r="M7" s="307"/>
    </row>
    <row r="8" spans="1:13" ht="18" customHeight="1">
      <c r="A8" s="271" t="s">
        <v>271</v>
      </c>
      <c r="B8" s="254"/>
      <c r="C8" s="254"/>
      <c r="D8" s="254"/>
      <c r="E8" s="254"/>
      <c r="F8" s="254"/>
      <c r="G8" s="254"/>
      <c r="H8" s="254"/>
      <c r="I8" s="254"/>
      <c r="J8" s="254"/>
      <c r="K8" s="254"/>
      <c r="L8" s="254"/>
      <c r="M8" s="255"/>
    </row>
    <row r="9" spans="1:13" ht="18" customHeight="1">
      <c r="A9" s="271" t="s">
        <v>33</v>
      </c>
      <c r="B9" s="254"/>
      <c r="C9" s="254"/>
      <c r="D9" s="254"/>
      <c r="E9" s="254"/>
      <c r="F9" s="254"/>
      <c r="G9" s="255"/>
      <c r="H9" s="271" t="s">
        <v>34</v>
      </c>
      <c r="I9" s="254"/>
      <c r="J9" s="255"/>
      <c r="K9" s="308" t="s">
        <v>395</v>
      </c>
      <c r="L9" s="313"/>
      <c r="M9" s="309"/>
    </row>
    <row r="10" spans="1:13" s="27" customFormat="1" ht="18" customHeight="1">
      <c r="A10" s="264" t="s">
        <v>396</v>
      </c>
      <c r="B10" s="272"/>
      <c r="C10" s="272"/>
      <c r="D10" s="272"/>
      <c r="E10" s="272"/>
      <c r="F10" s="272"/>
      <c r="G10" s="273"/>
      <c r="H10" s="9" t="s">
        <v>35</v>
      </c>
      <c r="I10" s="277">
        <v>40933</v>
      </c>
      <c r="J10" s="278"/>
      <c r="K10" s="11" t="s">
        <v>36</v>
      </c>
      <c r="L10" s="98" t="s">
        <v>437</v>
      </c>
      <c r="M10" s="10"/>
    </row>
    <row r="11" ht="6" customHeight="1" thickBot="1"/>
    <row r="12" spans="1:13" ht="25.5" customHeight="1">
      <c r="A12" s="28" t="s">
        <v>522</v>
      </c>
      <c r="B12" s="29" t="s">
        <v>524</v>
      </c>
      <c r="C12" s="30" t="s">
        <v>91</v>
      </c>
      <c r="D12" s="31" t="s">
        <v>92</v>
      </c>
      <c r="E12" s="275" t="s">
        <v>93</v>
      </c>
      <c r="F12" s="275"/>
      <c r="G12" s="275"/>
      <c r="H12" s="275" t="s">
        <v>94</v>
      </c>
      <c r="I12" s="275"/>
      <c r="J12" s="275"/>
      <c r="K12" s="275" t="s">
        <v>95</v>
      </c>
      <c r="L12" s="275"/>
      <c r="M12" s="275"/>
    </row>
    <row r="13" spans="1:13" ht="13.5" thickBot="1">
      <c r="A13" s="33"/>
      <c r="B13" s="34"/>
      <c r="C13" s="35"/>
      <c r="D13" s="36"/>
      <c r="E13" s="37" t="s">
        <v>99</v>
      </c>
      <c r="F13" s="38" t="s">
        <v>100</v>
      </c>
      <c r="G13" s="39" t="s">
        <v>101</v>
      </c>
      <c r="H13" s="37" t="s">
        <v>99</v>
      </c>
      <c r="I13" s="38" t="s">
        <v>100</v>
      </c>
      <c r="J13" s="39" t="s">
        <v>101</v>
      </c>
      <c r="K13" s="40" t="s">
        <v>99</v>
      </c>
      <c r="L13" s="38" t="s">
        <v>100</v>
      </c>
      <c r="M13" s="41" t="s">
        <v>101</v>
      </c>
    </row>
    <row r="14" spans="1:13" ht="12.75">
      <c r="A14" s="14"/>
      <c r="B14" s="15"/>
      <c r="C14" s="16"/>
      <c r="D14" s="17"/>
      <c r="E14" s="18"/>
      <c r="F14" s="19"/>
      <c r="G14" s="20"/>
      <c r="H14" s="18"/>
      <c r="I14" s="19"/>
      <c r="J14" s="20"/>
      <c r="K14" s="21"/>
      <c r="L14" s="19"/>
      <c r="M14" s="22"/>
    </row>
    <row r="15" spans="1:13" s="109" customFormat="1" ht="12.75">
      <c r="A15" s="133">
        <f>'[1]AR CONDICIONADO'!A14</f>
        <v>34000</v>
      </c>
      <c r="B15" s="138" t="str">
        <f>'[1]AR CONDICIONADO'!B14:H14</f>
        <v>EQUIPAMENTOS - AR CONDICIONADO</v>
      </c>
      <c r="C15" s="135">
        <f>'[1]AR CONDICIONADO'!I14</f>
        <v>9118.66786</v>
      </c>
      <c r="D15" s="136">
        <f>C15/$C$34</f>
        <v>0.5771039650273697</v>
      </c>
      <c r="E15" s="122">
        <f>C34/2-(E17+E19)</f>
        <v>2713.7394579499996</v>
      </c>
      <c r="F15" s="122">
        <f>E15/C15*100</f>
        <v>29.76026213054765</v>
      </c>
      <c r="G15" s="122">
        <f>F15</f>
        <v>29.76026213054765</v>
      </c>
      <c r="H15" s="122">
        <f>I15*C15/100</f>
        <v>6404.92840205</v>
      </c>
      <c r="I15" s="122">
        <f>100-F15</f>
        <v>70.23973786945236</v>
      </c>
      <c r="J15" s="122">
        <f>I15+G15</f>
        <v>100</v>
      </c>
      <c r="K15" s="122">
        <f>$C$22*L15%</f>
        <v>0</v>
      </c>
      <c r="L15" s="122">
        <v>0</v>
      </c>
      <c r="M15" s="122">
        <f>L15+J15</f>
        <v>100</v>
      </c>
    </row>
    <row r="16" spans="1:13" s="109" customFormat="1" ht="12.75">
      <c r="A16" s="102"/>
      <c r="B16" s="111"/>
      <c r="C16" s="112"/>
      <c r="D16" s="113"/>
      <c r="E16" s="114"/>
      <c r="F16" s="114"/>
      <c r="G16" s="114"/>
      <c r="H16" s="114"/>
      <c r="I16" s="114"/>
      <c r="J16" s="114"/>
      <c r="K16" s="114"/>
      <c r="L16" s="114"/>
      <c r="M16" s="114"/>
    </row>
    <row r="17" spans="1:13" s="109" customFormat="1" ht="12.75">
      <c r="A17" s="133">
        <f>'[1]AR CONDICIONADO'!A17</f>
        <v>34100</v>
      </c>
      <c r="B17" s="134" t="str">
        <f>'[1]AR CONDICIONADO'!B17:H17</f>
        <v>REDE FRIGORIGENA</v>
      </c>
      <c r="C17" s="135">
        <f>'[1]AR CONDICIONADO'!I17</f>
        <v>1116.5397441</v>
      </c>
      <c r="D17" s="136">
        <f>C17/$C$34</f>
        <v>0.07066377713539779</v>
      </c>
      <c r="E17" s="122">
        <f>F17*C17/100</f>
        <v>1116.5397441</v>
      </c>
      <c r="F17" s="122">
        <v>100</v>
      </c>
      <c r="G17" s="122">
        <f>F17</f>
        <v>100</v>
      </c>
      <c r="H17" s="122">
        <f>$C$24*I17%</f>
        <v>0</v>
      </c>
      <c r="I17" s="122">
        <v>0</v>
      </c>
      <c r="J17" s="122">
        <f>I17+G17</f>
        <v>100</v>
      </c>
      <c r="K17" s="122">
        <f>$C$24*L17%</f>
        <v>0</v>
      </c>
      <c r="L17" s="122">
        <v>0</v>
      </c>
      <c r="M17" s="122">
        <f>L17+J17</f>
        <v>100</v>
      </c>
    </row>
    <row r="18" spans="1:13" s="109" customFormat="1" ht="12.75">
      <c r="A18" s="119"/>
      <c r="B18" s="111"/>
      <c r="C18" s="112"/>
      <c r="D18" s="113"/>
      <c r="E18" s="114"/>
      <c r="F18" s="114"/>
      <c r="G18" s="114"/>
      <c r="H18" s="114"/>
      <c r="I18" s="114"/>
      <c r="J18" s="114"/>
      <c r="K18" s="114"/>
      <c r="L18" s="114"/>
      <c r="M18" s="114"/>
    </row>
    <row r="19" spans="1:13" s="109" customFormat="1" ht="12.75">
      <c r="A19" s="133">
        <f>'[1]AR CONDICIONADO'!A32</f>
        <v>34200</v>
      </c>
      <c r="B19" s="134" t="str">
        <f>'[1]AR CONDICIONADO'!B32:H32</f>
        <v>OUTRAS DESPESAS</v>
      </c>
      <c r="C19" s="135">
        <f>'[1]AR CONDICIONADO'!I32</f>
        <v>4070.0892000000003</v>
      </c>
      <c r="D19" s="136">
        <f>C19/$C$34</f>
        <v>0.2575885701066729</v>
      </c>
      <c r="E19" s="122">
        <f>F19*C19/100</f>
        <v>4070.0892000000003</v>
      </c>
      <c r="F19" s="122">
        <v>100</v>
      </c>
      <c r="G19" s="122">
        <f>F19</f>
        <v>100</v>
      </c>
      <c r="H19" s="122">
        <f>$C$26*I19%</f>
        <v>0</v>
      </c>
      <c r="I19" s="122">
        <v>0</v>
      </c>
      <c r="J19" s="122">
        <f>I19+G19</f>
        <v>100</v>
      </c>
      <c r="K19" s="122">
        <f>$C$26*L19%</f>
        <v>0</v>
      </c>
      <c r="L19" s="122">
        <v>0</v>
      </c>
      <c r="M19" s="122">
        <f>L19+J19</f>
        <v>100</v>
      </c>
    </row>
    <row r="20" spans="1:13" s="109" customFormat="1" ht="12.75">
      <c r="A20" s="119"/>
      <c r="B20" s="111"/>
      <c r="C20" s="112"/>
      <c r="D20" s="113"/>
      <c r="E20" s="114"/>
      <c r="F20" s="114"/>
      <c r="G20" s="114"/>
      <c r="H20" s="114"/>
      <c r="I20" s="114"/>
      <c r="J20" s="114"/>
      <c r="K20" s="114"/>
      <c r="L20" s="114"/>
      <c r="M20" s="114"/>
    </row>
    <row r="21" spans="1:13" s="109" customFormat="1" ht="12.75">
      <c r="A21" s="133">
        <f>'[1]AR CONDICIONADO'!A36</f>
        <v>34300</v>
      </c>
      <c r="B21" s="134" t="str">
        <f>'[1]AR CONDICIONADO'!B36:H36</f>
        <v>LIMPEZA E VERIFICAÇÃO FINAL</v>
      </c>
      <c r="C21" s="135">
        <f>'[1]AR CONDICIONADO'!I36</f>
        <v>1495.44</v>
      </c>
      <c r="D21" s="136">
        <f>C21/$C$34</f>
        <v>0.09464368773055956</v>
      </c>
      <c r="E21" s="122"/>
      <c r="F21" s="122"/>
      <c r="G21" s="122"/>
      <c r="H21" s="122">
        <f>I21*C21/100</f>
        <v>1495.44</v>
      </c>
      <c r="I21" s="122">
        <v>100</v>
      </c>
      <c r="J21" s="122">
        <f>I21+G21</f>
        <v>100</v>
      </c>
      <c r="K21" s="122">
        <f>$C$28*L21%</f>
        <v>0</v>
      </c>
      <c r="L21" s="122">
        <v>0</v>
      </c>
      <c r="M21" s="122">
        <f>L21+J21</f>
        <v>100</v>
      </c>
    </row>
    <row r="22" spans="1:13" s="109" customFormat="1" ht="12.75">
      <c r="A22" s="119"/>
      <c r="B22" s="111"/>
      <c r="C22" s="112"/>
      <c r="D22" s="113"/>
      <c r="E22" s="114"/>
      <c r="F22" s="114"/>
      <c r="G22" s="114"/>
      <c r="H22" s="114"/>
      <c r="I22" s="114"/>
      <c r="J22" s="114"/>
      <c r="K22" s="114"/>
      <c r="L22" s="114"/>
      <c r="M22" s="114"/>
    </row>
    <row r="23" spans="1:13" s="109" customFormat="1" ht="12.75">
      <c r="A23" s="102"/>
      <c r="B23" s="118"/>
      <c r="C23" s="103"/>
      <c r="D23" s="104"/>
      <c r="E23" s="105"/>
      <c r="F23" s="105"/>
      <c r="G23" s="105"/>
      <c r="H23" s="105"/>
      <c r="I23" s="105"/>
      <c r="J23" s="105"/>
      <c r="K23" s="105"/>
      <c r="L23" s="105"/>
      <c r="M23" s="105"/>
    </row>
    <row r="24" spans="1:13" s="109" customFormat="1" ht="12.75">
      <c r="A24" s="102"/>
      <c r="B24" s="111"/>
      <c r="C24" s="112"/>
      <c r="D24" s="113"/>
      <c r="E24" s="114"/>
      <c r="F24" s="114"/>
      <c r="G24" s="114"/>
      <c r="H24" s="114"/>
      <c r="I24" s="114"/>
      <c r="J24" s="114"/>
      <c r="K24" s="114"/>
      <c r="L24" s="114"/>
      <c r="M24" s="114"/>
    </row>
    <row r="25" spans="1:13" s="109" customFormat="1" ht="12.75">
      <c r="A25" s="102"/>
      <c r="B25" s="247"/>
      <c r="C25" s="103"/>
      <c r="D25" s="104"/>
      <c r="E25" s="105"/>
      <c r="F25" s="105"/>
      <c r="G25" s="105"/>
      <c r="H25" s="105"/>
      <c r="I25" s="105"/>
      <c r="J25" s="105"/>
      <c r="K25" s="105"/>
      <c r="L25" s="105"/>
      <c r="M25" s="105"/>
    </row>
    <row r="26" spans="1:13" s="109" customFormat="1" ht="12.75">
      <c r="A26" s="119"/>
      <c r="B26" s="111"/>
      <c r="C26" s="112"/>
      <c r="D26" s="113"/>
      <c r="E26" s="114"/>
      <c r="F26" s="114"/>
      <c r="G26" s="114"/>
      <c r="H26" s="114"/>
      <c r="I26" s="114"/>
      <c r="J26" s="114"/>
      <c r="K26" s="114"/>
      <c r="L26" s="114"/>
      <c r="M26" s="114"/>
    </row>
    <row r="27" spans="1:13" s="109" customFormat="1" ht="12.75">
      <c r="A27" s="102"/>
      <c r="B27" s="118"/>
      <c r="C27" s="103"/>
      <c r="D27" s="104"/>
      <c r="E27" s="105"/>
      <c r="F27" s="105"/>
      <c r="G27" s="105"/>
      <c r="H27" s="105"/>
      <c r="I27" s="105"/>
      <c r="J27" s="105"/>
      <c r="K27" s="105"/>
      <c r="L27" s="105"/>
      <c r="M27" s="105"/>
    </row>
    <row r="28" spans="1:13" s="109" customFormat="1" ht="12.75">
      <c r="A28" s="119"/>
      <c r="B28" s="111"/>
      <c r="C28" s="112"/>
      <c r="D28" s="113"/>
      <c r="E28" s="114"/>
      <c r="F28" s="114"/>
      <c r="G28" s="114"/>
      <c r="H28" s="114"/>
      <c r="I28" s="114"/>
      <c r="J28" s="114"/>
      <c r="K28" s="114"/>
      <c r="L28" s="114"/>
      <c r="M28" s="114"/>
    </row>
    <row r="29" spans="1:13" s="109" customFormat="1" ht="12.75">
      <c r="A29" s="102"/>
      <c r="B29" s="118"/>
      <c r="C29" s="103"/>
      <c r="D29" s="104"/>
      <c r="E29" s="105"/>
      <c r="F29" s="105"/>
      <c r="G29" s="105"/>
      <c r="H29" s="105"/>
      <c r="I29" s="105"/>
      <c r="J29" s="105"/>
      <c r="K29" s="105"/>
      <c r="L29" s="105"/>
      <c r="M29" s="105"/>
    </row>
    <row r="30" spans="1:13" s="109" customFormat="1" ht="12.75">
      <c r="A30" s="119"/>
      <c r="B30" s="111"/>
      <c r="C30" s="112"/>
      <c r="D30" s="113"/>
      <c r="E30" s="114"/>
      <c r="F30" s="114"/>
      <c r="G30" s="114"/>
      <c r="H30" s="114"/>
      <c r="I30" s="114"/>
      <c r="J30" s="114"/>
      <c r="K30" s="114"/>
      <c r="L30" s="114"/>
      <c r="M30" s="114"/>
    </row>
    <row r="31" spans="1:13" s="109" customFormat="1" ht="12.75">
      <c r="A31" s="102"/>
      <c r="B31" s="118"/>
      <c r="C31" s="103"/>
      <c r="D31" s="104"/>
      <c r="E31" s="105"/>
      <c r="F31" s="105"/>
      <c r="G31" s="105"/>
      <c r="H31" s="105"/>
      <c r="I31" s="105"/>
      <c r="J31" s="105"/>
      <c r="K31" s="105"/>
      <c r="L31" s="105"/>
      <c r="M31" s="105"/>
    </row>
    <row r="32" spans="1:13" s="109" customFormat="1" ht="12.75">
      <c r="A32" s="119"/>
      <c r="B32" s="111"/>
      <c r="C32" s="112"/>
      <c r="D32" s="113"/>
      <c r="E32" s="114"/>
      <c r="F32" s="114"/>
      <c r="G32" s="114"/>
      <c r="H32" s="114"/>
      <c r="I32" s="114"/>
      <c r="J32" s="114"/>
      <c r="K32" s="114"/>
      <c r="L32" s="114"/>
      <c r="M32" s="114"/>
    </row>
    <row r="33" spans="1:13" s="109" customFormat="1" ht="12.75">
      <c r="A33" s="102"/>
      <c r="B33" s="118"/>
      <c r="C33" s="103"/>
      <c r="D33" s="104"/>
      <c r="E33" s="105"/>
      <c r="F33" s="105"/>
      <c r="G33" s="105"/>
      <c r="H33" s="105"/>
      <c r="I33" s="105"/>
      <c r="J33" s="105"/>
      <c r="K33" s="105"/>
      <c r="L33" s="105"/>
      <c r="M33" s="105"/>
    </row>
    <row r="34" spans="1:13" ht="13.5" customHeight="1" thickBot="1">
      <c r="A34" s="248" t="s">
        <v>102</v>
      </c>
      <c r="B34" s="249"/>
      <c r="C34" s="250">
        <f>SUM(C15:C33)</f>
        <v>15800.7368041</v>
      </c>
      <c r="D34" s="251">
        <f>SUM(D15:D33)</f>
        <v>0.9999999999999999</v>
      </c>
      <c r="E34" s="274">
        <f>E15+E17+E19+E21</f>
        <v>7900.36840205</v>
      </c>
      <c r="F34" s="274"/>
      <c r="G34" s="274"/>
      <c r="H34" s="274">
        <f>H15+H17+H19+H21</f>
        <v>7900.36840205</v>
      </c>
      <c r="I34" s="274"/>
      <c r="J34" s="274"/>
      <c r="K34" s="274"/>
      <c r="L34" s="274"/>
      <c r="M34" s="274"/>
    </row>
    <row r="35" ht="12.75">
      <c r="C35" s="13"/>
    </row>
    <row r="36" ht="12.75">
      <c r="G36" s="252"/>
    </row>
    <row r="37" ht="12.75">
      <c r="K37" s="253"/>
    </row>
    <row r="38" ht="12.75">
      <c r="C38" s="99"/>
    </row>
    <row r="40" ht="12.75">
      <c r="F40" s="99"/>
    </row>
  </sheetData>
  <sheetProtection password="F751" sheet="1" objects="1" scenarios="1"/>
  <mergeCells count="19">
    <mergeCell ref="A1:M1"/>
    <mergeCell ref="A2:M2"/>
    <mergeCell ref="A4:M4"/>
    <mergeCell ref="A5:G5"/>
    <mergeCell ref="A6:M6"/>
    <mergeCell ref="A7:G7"/>
    <mergeCell ref="H7:M7"/>
    <mergeCell ref="A8:M8"/>
    <mergeCell ref="A9:G9"/>
    <mergeCell ref="H9:J9"/>
    <mergeCell ref="K9:M9"/>
    <mergeCell ref="A10:G10"/>
    <mergeCell ref="I10:J10"/>
    <mergeCell ref="E12:G12"/>
    <mergeCell ref="H12:J12"/>
    <mergeCell ref="K12:M12"/>
    <mergeCell ref="E34:G34"/>
    <mergeCell ref="H34:J34"/>
    <mergeCell ref="K34:M34"/>
  </mergeCells>
  <conditionalFormatting sqref="H22">
    <cfRule type="cellIs" priority="1" dxfId="0" operator="greaterThan" stopIfTrue="1">
      <formula>0</formula>
    </cfRule>
  </conditionalFormatting>
  <conditionalFormatting sqref="E15:G15 E17:G17">
    <cfRule type="cellIs" priority="2" dxfId="0" operator="greaterThan" stopIfTrue="1">
      <formula>33649.422</formula>
    </cfRule>
  </conditionalFormatting>
  <conditionalFormatting sqref="E16:M16 E18:G33 H23:H33 H17:M21 H15:M15 I22:M33">
    <cfRule type="cellIs" priority="3" dxfId="1" operator="greaterThan" stopIfTrue="1">
      <formula>0</formula>
    </cfRule>
    <cfRule type="cellIs" priority="4" dxfId="0" operator="greaterThan" stopIfTrue="1">
      <formula>0</formula>
    </cfRule>
  </conditionalFormatting>
  <printOptions/>
  <pageMargins left="0.75" right="0.75" top="1" bottom="1" header="0.492125985" footer="0.492125985"/>
  <pageSetup orientation="portrait" paperSize="9"/>
  <legacyDrawing r:id="rId4"/>
  <oleObjects>
    <oleObject progId="Word.Picture.8" shapeId="681267" r:id="rId1"/>
    <oleObject progId="Word.Picture.8" shapeId="681268" r:id="rId2"/>
    <oleObject progId="Word.Picture.8" shapeId="681269" r:id="rId3"/>
  </oleObjects>
</worksheet>
</file>

<file path=xl/worksheets/sheet6.xml><?xml version="1.0" encoding="utf-8"?>
<worksheet xmlns="http://schemas.openxmlformats.org/spreadsheetml/2006/main" xmlns:r="http://schemas.openxmlformats.org/officeDocument/2006/relationships">
  <dimension ref="A1:K41"/>
  <sheetViews>
    <sheetView zoomScale="75" zoomScaleNormal="75" workbookViewId="0" topLeftCell="A1">
      <selection activeCell="K56" sqref="K56"/>
    </sheetView>
  </sheetViews>
  <sheetFormatPr defaultColWidth="9.140625" defaultRowHeight="12.75"/>
  <cols>
    <col min="2" max="2" width="11.421875" style="0" bestFit="1" customWidth="1"/>
    <col min="4" max="4" width="13.140625" style="0" bestFit="1" customWidth="1"/>
  </cols>
  <sheetData>
    <row r="1" spans="1:11" ht="23.25">
      <c r="A1" s="289" t="s">
        <v>31</v>
      </c>
      <c r="B1" s="289"/>
      <c r="C1" s="289"/>
      <c r="D1" s="289"/>
      <c r="E1" s="289"/>
      <c r="F1" s="289"/>
      <c r="G1" s="289"/>
      <c r="H1" s="289"/>
      <c r="I1" s="289"/>
      <c r="J1" s="289"/>
      <c r="K1" s="289"/>
    </row>
    <row r="2" spans="1:11" ht="23.25">
      <c r="A2" s="290" t="s">
        <v>32</v>
      </c>
      <c r="B2" s="290"/>
      <c r="C2" s="290"/>
      <c r="D2" s="290"/>
      <c r="E2" s="290"/>
      <c r="F2" s="290"/>
      <c r="G2" s="290"/>
      <c r="H2" s="290"/>
      <c r="I2" s="290"/>
      <c r="J2" s="290"/>
      <c r="K2" s="290"/>
    </row>
    <row r="3" spans="1:11" ht="23.25">
      <c r="A3" s="50"/>
      <c r="B3" s="50"/>
      <c r="C3" s="50"/>
      <c r="D3" s="50"/>
      <c r="E3" s="50"/>
      <c r="F3" s="50"/>
      <c r="G3" s="50"/>
      <c r="H3" s="51"/>
      <c r="I3" s="52"/>
      <c r="J3" s="53"/>
      <c r="K3" s="53"/>
    </row>
    <row r="4" spans="1:11" ht="23.25">
      <c r="A4" s="260" t="s">
        <v>644</v>
      </c>
      <c r="B4" s="261"/>
      <c r="C4" s="261"/>
      <c r="D4" s="261"/>
      <c r="E4" s="261"/>
      <c r="F4" s="261"/>
      <c r="G4" s="261"/>
      <c r="H4" s="261"/>
      <c r="I4" s="261"/>
      <c r="J4" s="261"/>
      <c r="K4" s="262"/>
    </row>
    <row r="5" spans="1:11" ht="4.5" customHeight="1">
      <c r="A5" s="291"/>
      <c r="B5" s="291"/>
      <c r="C5" s="291"/>
      <c r="D5" s="291"/>
      <c r="E5" s="291"/>
      <c r="F5" s="291"/>
      <c r="G5" s="291"/>
      <c r="H5" s="291"/>
      <c r="I5" s="291"/>
      <c r="J5" s="53"/>
      <c r="K5" s="53"/>
    </row>
    <row r="6" spans="1:11" s="57" customFormat="1" ht="20.25" customHeight="1">
      <c r="A6" s="2" t="s">
        <v>341</v>
      </c>
      <c r="B6" s="55"/>
      <c r="C6" s="55"/>
      <c r="D6" s="55"/>
      <c r="E6" s="55"/>
      <c r="F6" s="55"/>
      <c r="G6" s="55"/>
      <c r="H6" s="55"/>
      <c r="I6" s="55"/>
      <c r="J6" s="55"/>
      <c r="K6" s="56"/>
    </row>
    <row r="7" spans="1:11" s="57" customFormat="1" ht="20.25" customHeight="1">
      <c r="A7" s="317" t="str">
        <f>'[1]AR CONDICIONADO'!A7:D7</f>
        <v>REFERENCIA : INSTALAÇÕES DE AR CONDICIONADO</v>
      </c>
      <c r="B7" s="318"/>
      <c r="C7" s="318"/>
      <c r="D7" s="318"/>
      <c r="E7" s="318"/>
      <c r="F7" s="318"/>
      <c r="G7" s="319"/>
      <c r="H7" s="54" t="str">
        <f>'[1]AR CONDICIONADO'!E7</f>
        <v>CONTRATO:363.358-88</v>
      </c>
      <c r="I7" s="55"/>
      <c r="J7" s="55"/>
      <c r="K7" s="56"/>
    </row>
    <row r="8" spans="1:11" s="57" customFormat="1" ht="20.25" customHeight="1">
      <c r="A8" s="317" t="str">
        <f>'[1]AR CONDICIONADO'!A8:I8</f>
        <v>LOCAL: BAIRRO ALTO DA COLINA - PATOS DE MINAS/MG</v>
      </c>
      <c r="B8" s="318"/>
      <c r="C8" s="318"/>
      <c r="D8" s="318"/>
      <c r="E8" s="318"/>
      <c r="F8" s="318"/>
      <c r="G8" s="318"/>
      <c r="H8" s="318"/>
      <c r="I8" s="318"/>
      <c r="J8" s="318"/>
      <c r="K8" s="319"/>
    </row>
    <row r="9" spans="1:11" s="57" customFormat="1" ht="20.25" customHeight="1">
      <c r="A9" s="271" t="s">
        <v>33</v>
      </c>
      <c r="B9" s="254"/>
      <c r="C9" s="254"/>
      <c r="D9" s="254"/>
      <c r="E9" s="255"/>
      <c r="F9" s="285" t="str">
        <f>'[1]AR CONDICIONADO'!E9</f>
        <v>CREA: MG-30.465/D</v>
      </c>
      <c r="G9" s="285"/>
      <c r="H9" s="285"/>
      <c r="I9" s="286" t="s">
        <v>438</v>
      </c>
      <c r="J9" s="287"/>
      <c r="K9" s="288"/>
    </row>
    <row r="10" spans="1:11" s="57" customFormat="1" ht="15">
      <c r="A10" s="314" t="s">
        <v>439</v>
      </c>
      <c r="B10" s="315"/>
      <c r="C10" s="315"/>
      <c r="D10" s="315"/>
      <c r="E10" s="315"/>
      <c r="F10" s="315"/>
      <c r="G10" s="315"/>
      <c r="H10" s="315"/>
      <c r="I10" s="315"/>
      <c r="J10" s="315"/>
      <c r="K10" s="316"/>
    </row>
    <row r="11" spans="1:11" s="57" customFormat="1" ht="4.5" customHeight="1" thickBot="1">
      <c r="A11" s="281"/>
      <c r="B11" s="281"/>
      <c r="C11" s="281"/>
      <c r="D11" s="59"/>
      <c r="E11" s="59"/>
      <c r="F11" s="59"/>
      <c r="G11" s="59"/>
      <c r="H11" s="59"/>
      <c r="I11" s="59"/>
      <c r="J11" s="59"/>
      <c r="K11" s="59"/>
    </row>
    <row r="12" spans="1:11" s="57" customFormat="1" ht="12.75">
      <c r="A12" s="60"/>
      <c r="B12" s="61"/>
      <c r="C12" s="61"/>
      <c r="D12" s="61"/>
      <c r="E12" s="61"/>
      <c r="F12" s="61"/>
      <c r="G12" s="61"/>
      <c r="H12" s="61"/>
      <c r="I12" s="61"/>
      <c r="J12" s="61"/>
      <c r="K12" s="62"/>
    </row>
    <row r="13" spans="1:11" s="57" customFormat="1" ht="12.75">
      <c r="A13" s="63" t="s">
        <v>645</v>
      </c>
      <c r="B13" s="59"/>
      <c r="C13" s="59"/>
      <c r="D13" s="59"/>
      <c r="E13" s="59"/>
      <c r="F13" s="59"/>
      <c r="G13" s="59"/>
      <c r="H13" s="59"/>
      <c r="I13" s="59"/>
      <c r="J13" s="59"/>
      <c r="K13" s="64"/>
    </row>
    <row r="14" spans="1:11" s="57" customFormat="1" ht="13.5" thickBot="1">
      <c r="A14" s="63"/>
      <c r="B14" s="59"/>
      <c r="C14" s="59"/>
      <c r="D14" s="59"/>
      <c r="E14" s="59"/>
      <c r="F14" s="59"/>
      <c r="G14" s="59"/>
      <c r="H14" s="59"/>
      <c r="I14" s="59"/>
      <c r="J14" s="59"/>
      <c r="K14" s="64"/>
    </row>
    <row r="15" spans="1:11" s="57" customFormat="1" ht="13.5" thickBot="1">
      <c r="A15" s="63"/>
      <c r="B15" s="65">
        <v>0.009</v>
      </c>
      <c r="C15" s="59"/>
      <c r="D15" s="59"/>
      <c r="E15" s="59"/>
      <c r="F15" s="59"/>
      <c r="G15" s="59"/>
      <c r="H15" s="59"/>
      <c r="I15" s="59"/>
      <c r="J15" s="59"/>
      <c r="K15" s="64"/>
    </row>
    <row r="16" spans="1:11" s="57" customFormat="1" ht="12.75">
      <c r="A16" s="63"/>
      <c r="B16" s="59"/>
      <c r="C16" s="59"/>
      <c r="D16" s="59"/>
      <c r="E16" s="66" t="s">
        <v>646</v>
      </c>
      <c r="F16" s="59"/>
      <c r="G16" s="59"/>
      <c r="H16" s="59"/>
      <c r="I16" s="67" t="s">
        <v>647</v>
      </c>
      <c r="J16" s="68">
        <f>1+B19+B23+B31</f>
        <v>1.09</v>
      </c>
      <c r="K16" s="64"/>
    </row>
    <row r="17" spans="1:11" s="57" customFormat="1" ht="12.75">
      <c r="A17" s="63" t="s">
        <v>648</v>
      </c>
      <c r="B17" s="59"/>
      <c r="C17" s="59"/>
      <c r="D17" s="59"/>
      <c r="E17" s="66" t="s">
        <v>649</v>
      </c>
      <c r="F17" s="59"/>
      <c r="G17" s="59"/>
      <c r="H17" s="59"/>
      <c r="I17" s="67" t="s">
        <v>650</v>
      </c>
      <c r="J17" s="68">
        <f>1+B15</f>
        <v>1.009</v>
      </c>
      <c r="K17" s="64"/>
    </row>
    <row r="18" spans="1:11" s="57" customFormat="1" ht="13.5" thickBot="1">
      <c r="A18" s="63"/>
      <c r="B18" s="59"/>
      <c r="C18" s="59"/>
      <c r="D18" s="59"/>
      <c r="E18" s="66" t="s">
        <v>651</v>
      </c>
      <c r="F18" s="59"/>
      <c r="G18" s="59"/>
      <c r="H18" s="59"/>
      <c r="I18" s="67" t="s">
        <v>652</v>
      </c>
      <c r="J18" s="68">
        <f>1+B27</f>
        <v>1.0691</v>
      </c>
      <c r="K18" s="64"/>
    </row>
    <row r="19" spans="1:11" s="57" customFormat="1" ht="13.5" thickBot="1">
      <c r="A19" s="63"/>
      <c r="B19" s="65">
        <v>0.019</v>
      </c>
      <c r="C19" s="59"/>
      <c r="D19" s="59"/>
      <c r="E19" s="66" t="s">
        <v>653</v>
      </c>
      <c r="F19" s="59"/>
      <c r="G19" s="59"/>
      <c r="H19" s="59"/>
      <c r="I19" s="67" t="s">
        <v>654</v>
      </c>
      <c r="J19" s="68">
        <f>1-C36-E36-G36-C38</f>
        <v>0.9435</v>
      </c>
      <c r="K19" s="64"/>
    </row>
    <row r="20" spans="1:11" s="57" customFormat="1" ht="12.75">
      <c r="A20" s="63"/>
      <c r="B20" s="59"/>
      <c r="C20" s="59"/>
      <c r="D20" s="59"/>
      <c r="E20" s="59"/>
      <c r="F20" s="59"/>
      <c r="G20" s="59"/>
      <c r="H20" s="59"/>
      <c r="I20" s="59"/>
      <c r="J20" s="59"/>
      <c r="K20" s="64"/>
    </row>
    <row r="21" spans="1:11" s="57" customFormat="1" ht="12.75">
      <c r="A21" s="63" t="s">
        <v>655</v>
      </c>
      <c r="B21" s="59"/>
      <c r="C21" s="59"/>
      <c r="D21" s="59"/>
      <c r="E21" s="59"/>
      <c r="F21" s="59"/>
      <c r="G21" s="59"/>
      <c r="H21" s="59"/>
      <c r="I21" s="59"/>
      <c r="J21" s="59"/>
      <c r="K21" s="64"/>
    </row>
    <row r="22" spans="1:11" s="57" customFormat="1" ht="13.5" thickBot="1">
      <c r="A22" s="63"/>
      <c r="B22" s="59"/>
      <c r="C22" s="59"/>
      <c r="D22" s="59"/>
      <c r="E22" s="59"/>
      <c r="F22" s="59"/>
      <c r="G22" s="59"/>
      <c r="H22" s="59"/>
      <c r="I22" s="59"/>
      <c r="J22" s="59"/>
      <c r="K22" s="64"/>
    </row>
    <row r="23" spans="1:11" s="57" customFormat="1" ht="13.5" thickBot="1">
      <c r="A23" s="63"/>
      <c r="B23" s="65">
        <v>0.0675</v>
      </c>
      <c r="C23" s="59"/>
      <c r="D23" s="59"/>
      <c r="E23" s="59"/>
      <c r="F23" s="59"/>
      <c r="G23" s="59"/>
      <c r="H23" s="59"/>
      <c r="I23" s="59"/>
      <c r="J23" s="59"/>
      <c r="K23" s="64"/>
    </row>
    <row r="24" spans="1:11" s="57" customFormat="1" ht="12.75">
      <c r="A24" s="63"/>
      <c r="B24" s="59"/>
      <c r="C24" s="59"/>
      <c r="D24" s="59"/>
      <c r="E24" s="59"/>
      <c r="F24" s="59"/>
      <c r="G24" s="59"/>
      <c r="H24" s="59"/>
      <c r="I24" s="59"/>
      <c r="J24" s="59"/>
      <c r="K24" s="64"/>
    </row>
    <row r="25" spans="1:11" s="57" customFormat="1" ht="12.75">
      <c r="A25" s="63" t="s">
        <v>656</v>
      </c>
      <c r="B25" s="59"/>
      <c r="C25" s="59"/>
      <c r="D25" s="59"/>
      <c r="E25" s="59"/>
      <c r="F25" s="59"/>
      <c r="G25" s="59"/>
      <c r="H25" s="59"/>
      <c r="I25" s="59"/>
      <c r="J25" s="59"/>
      <c r="K25" s="64"/>
    </row>
    <row r="26" spans="1:11" s="57" customFormat="1" ht="13.5" thickBot="1">
      <c r="A26" s="63"/>
      <c r="B26" s="59"/>
      <c r="C26" s="59"/>
      <c r="D26" s="59"/>
      <c r="E26" s="59"/>
      <c r="F26" s="59"/>
      <c r="G26" s="59"/>
      <c r="H26" s="59"/>
      <c r="I26" s="59"/>
      <c r="J26" s="59"/>
      <c r="K26" s="64"/>
    </row>
    <row r="27" spans="1:11" s="57" customFormat="1" ht="13.5" thickBot="1">
      <c r="A27" s="63"/>
      <c r="B27" s="65">
        <v>0.0691</v>
      </c>
      <c r="C27" s="59"/>
      <c r="D27" s="59"/>
      <c r="E27" s="59"/>
      <c r="F27" s="59"/>
      <c r="G27" s="59"/>
      <c r="H27" s="59"/>
      <c r="I27" s="59"/>
      <c r="J27" s="59"/>
      <c r="K27" s="64"/>
    </row>
    <row r="28" spans="1:11" s="57" customFormat="1" ht="12.75">
      <c r="A28" s="63"/>
      <c r="B28" s="59"/>
      <c r="C28" s="59"/>
      <c r="D28" s="59"/>
      <c r="E28" s="59"/>
      <c r="F28" s="59"/>
      <c r="G28" s="59"/>
      <c r="H28" s="59"/>
      <c r="I28" s="59"/>
      <c r="J28" s="59"/>
      <c r="K28" s="64"/>
    </row>
    <row r="29" spans="1:11" s="57" customFormat="1" ht="12.75">
      <c r="A29" s="63" t="s">
        <v>657</v>
      </c>
      <c r="B29" s="59"/>
      <c r="C29" s="59"/>
      <c r="D29" s="59"/>
      <c r="E29" s="59"/>
      <c r="F29" s="59"/>
      <c r="G29" s="59"/>
      <c r="H29" s="59"/>
      <c r="I29" s="59"/>
      <c r="J29" s="59"/>
      <c r="K29" s="64"/>
    </row>
    <row r="30" spans="1:11" s="57" customFormat="1" ht="13.5" thickBot="1">
      <c r="A30" s="63"/>
      <c r="B30" s="59"/>
      <c r="C30" s="59"/>
      <c r="D30" s="59"/>
      <c r="E30" s="59"/>
      <c r="F30" s="59"/>
      <c r="G30" s="59"/>
      <c r="H30" s="59"/>
      <c r="I30" s="59"/>
      <c r="J30" s="59"/>
      <c r="K30" s="64"/>
    </row>
    <row r="31" spans="1:11" s="57" customFormat="1" ht="13.5" thickBot="1">
      <c r="A31" s="63"/>
      <c r="B31" s="65">
        <v>0.0035</v>
      </c>
      <c r="C31" s="59"/>
      <c r="D31" s="59"/>
      <c r="E31" s="59"/>
      <c r="F31" s="59"/>
      <c r="G31" s="59"/>
      <c r="H31" s="59"/>
      <c r="I31" s="59"/>
      <c r="J31" s="59"/>
      <c r="K31" s="64"/>
    </row>
    <row r="32" spans="1:11" s="57" customFormat="1" ht="12.75">
      <c r="A32" s="63"/>
      <c r="B32" s="69"/>
      <c r="C32" s="59"/>
      <c r="D32" s="59"/>
      <c r="E32" s="59"/>
      <c r="F32" s="59"/>
      <c r="G32" s="59"/>
      <c r="H32" s="59"/>
      <c r="I32" s="59"/>
      <c r="J32" s="59"/>
      <c r="K32" s="64"/>
    </row>
    <row r="33" spans="1:11" s="57" customFormat="1" ht="25.5" customHeight="1">
      <c r="A33" s="282" t="s">
        <v>658</v>
      </c>
      <c r="B33" s="283"/>
      <c r="C33" s="283"/>
      <c r="D33" s="283"/>
      <c r="E33" s="283"/>
      <c r="F33" s="283"/>
      <c r="G33" s="283"/>
      <c r="H33" s="283"/>
      <c r="I33" s="283"/>
      <c r="J33" s="283"/>
      <c r="K33" s="284"/>
    </row>
    <row r="34" spans="1:11" s="57" customFormat="1" ht="12.75">
      <c r="A34" s="70" t="s">
        <v>659</v>
      </c>
      <c r="B34" s="59"/>
      <c r="C34" s="59"/>
      <c r="D34" s="59"/>
      <c r="E34" s="59"/>
      <c r="F34" s="59"/>
      <c r="G34" s="59"/>
      <c r="H34" s="59"/>
      <c r="I34" s="59"/>
      <c r="J34" s="59"/>
      <c r="K34" s="64"/>
    </row>
    <row r="35" spans="1:11" s="57" customFormat="1" ht="13.5" thickBot="1">
      <c r="A35" s="63"/>
      <c r="B35" s="59"/>
      <c r="C35" s="59"/>
      <c r="D35" s="59"/>
      <c r="E35" s="59"/>
      <c r="F35" s="59"/>
      <c r="G35" s="59"/>
      <c r="H35" s="59"/>
      <c r="I35" s="59"/>
      <c r="J35" s="59"/>
      <c r="K35" s="64"/>
    </row>
    <row r="36" spans="1:11" s="57" customFormat="1" ht="13.5" thickBot="1">
      <c r="A36" s="63"/>
      <c r="B36" s="59" t="s">
        <v>660</v>
      </c>
      <c r="C36" s="65">
        <v>0.03</v>
      </c>
      <c r="D36" s="71" t="s">
        <v>661</v>
      </c>
      <c r="E36" s="65">
        <v>0.0065</v>
      </c>
      <c r="F36" s="71" t="s">
        <v>662</v>
      </c>
      <c r="G36" s="65">
        <v>0.02</v>
      </c>
      <c r="H36" s="59"/>
      <c r="I36" s="59"/>
      <c r="J36" s="72"/>
      <c r="K36" s="64"/>
    </row>
    <row r="37" spans="1:11" s="57" customFormat="1" ht="13.5" thickBot="1">
      <c r="A37" s="63"/>
      <c r="B37" s="59"/>
      <c r="C37" s="59"/>
      <c r="D37" s="59"/>
      <c r="E37" s="59"/>
      <c r="F37" s="59"/>
      <c r="G37" s="59"/>
      <c r="H37" s="59"/>
      <c r="I37" s="59"/>
      <c r="J37" s="72"/>
      <c r="K37" s="64"/>
    </row>
    <row r="38" spans="1:11" s="57" customFormat="1" ht="13.5" thickBot="1">
      <c r="A38" s="63"/>
      <c r="B38" s="59" t="s">
        <v>663</v>
      </c>
      <c r="C38" s="65">
        <v>0</v>
      </c>
      <c r="D38" s="59"/>
      <c r="E38" s="59"/>
      <c r="F38" s="69"/>
      <c r="G38" s="59"/>
      <c r="H38" s="59"/>
      <c r="I38" s="72"/>
      <c r="J38" s="59"/>
      <c r="K38" s="64"/>
    </row>
    <row r="39" spans="1:11" s="57" customFormat="1" ht="12.75">
      <c r="A39" s="63"/>
      <c r="B39" s="59"/>
      <c r="C39" s="59"/>
      <c r="D39" s="59"/>
      <c r="E39" s="59"/>
      <c r="F39" s="59"/>
      <c r="G39" s="59"/>
      <c r="H39" s="59"/>
      <c r="I39" s="59"/>
      <c r="J39" s="59"/>
      <c r="K39" s="64"/>
    </row>
    <row r="40" spans="1:11" s="57" customFormat="1" ht="15.75">
      <c r="A40" s="63"/>
      <c r="B40" s="73"/>
      <c r="C40" s="73" t="s">
        <v>664</v>
      </c>
      <c r="D40" s="74">
        <f>(J16*J17*J18/J19)-1</f>
        <v>0.24621819925808142</v>
      </c>
      <c r="E40" s="59"/>
      <c r="F40" s="59"/>
      <c r="G40" s="59"/>
      <c r="H40" s="59"/>
      <c r="I40" s="59"/>
      <c r="J40" s="59"/>
      <c r="K40" s="64"/>
    </row>
    <row r="41" spans="1:11" ht="13.5" thickBot="1">
      <c r="A41" s="75"/>
      <c r="B41" s="76"/>
      <c r="C41" s="76"/>
      <c r="D41" s="76"/>
      <c r="E41" s="76"/>
      <c r="F41" s="76"/>
      <c r="G41" s="76"/>
      <c r="H41" s="76"/>
      <c r="I41" s="76"/>
      <c r="J41" s="76"/>
      <c r="K41" s="77"/>
    </row>
  </sheetData>
  <sheetProtection password="F751" sheet="1" objects="1" scenarios="1"/>
  <mergeCells count="12">
    <mergeCell ref="A1:K1"/>
    <mergeCell ref="A2:K2"/>
    <mergeCell ref="A4:K4"/>
    <mergeCell ref="A5:I5"/>
    <mergeCell ref="A10:K10"/>
    <mergeCell ref="A11:C11"/>
    <mergeCell ref="A33:K33"/>
    <mergeCell ref="A7:G7"/>
    <mergeCell ref="A8:K8"/>
    <mergeCell ref="A9:E9"/>
    <mergeCell ref="F9:H9"/>
    <mergeCell ref="I9:K9"/>
  </mergeCells>
  <printOptions/>
  <pageMargins left="0.3937007874015748" right="0.3937007874015748" top="0.984251968503937" bottom="0.984251968503937" header="0.5118110236220472" footer="0.5118110236220472"/>
  <pageSetup horizontalDpi="600" verticalDpi="600" orientation="portrait" scale="90" r:id="rId4"/>
  <legacyDrawing r:id="rId3"/>
  <oleObjects>
    <oleObject progId="Word.Picture.8" shapeId="683637" r:id="rId1"/>
    <oleObject progId="Word.Picture.8" shapeId="683638" r:id="rId2"/>
  </oleObjects>
</worksheet>
</file>

<file path=xl/worksheets/sheet7.xml><?xml version="1.0" encoding="utf-8"?>
<worksheet xmlns="http://schemas.openxmlformats.org/spreadsheetml/2006/main" xmlns:r="http://schemas.openxmlformats.org/officeDocument/2006/relationships">
  <dimension ref="A1:K41"/>
  <sheetViews>
    <sheetView zoomScale="75" zoomScaleNormal="75" workbookViewId="0" topLeftCell="A1">
      <selection activeCell="D40" sqref="D40"/>
    </sheetView>
  </sheetViews>
  <sheetFormatPr defaultColWidth="9.140625" defaultRowHeight="12.75"/>
  <cols>
    <col min="2" max="2" width="11.421875" style="0" bestFit="1" customWidth="1"/>
    <col min="4" max="4" width="13.140625" style="0" bestFit="1" customWidth="1"/>
  </cols>
  <sheetData>
    <row r="1" spans="1:11" ht="23.25">
      <c r="A1" s="289" t="s">
        <v>31</v>
      </c>
      <c r="B1" s="289"/>
      <c r="C1" s="289"/>
      <c r="D1" s="289"/>
      <c r="E1" s="289"/>
      <c r="F1" s="289"/>
      <c r="G1" s="289"/>
      <c r="H1" s="289"/>
      <c r="I1" s="289"/>
      <c r="J1" s="289"/>
      <c r="K1" s="289"/>
    </row>
    <row r="2" spans="1:11" ht="23.25">
      <c r="A2" s="290" t="s">
        <v>32</v>
      </c>
      <c r="B2" s="290"/>
      <c r="C2" s="290"/>
      <c r="D2" s="290"/>
      <c r="E2" s="290"/>
      <c r="F2" s="290"/>
      <c r="G2" s="290"/>
      <c r="H2" s="290"/>
      <c r="I2" s="290"/>
      <c r="J2" s="290"/>
      <c r="K2" s="290"/>
    </row>
    <row r="3" spans="1:11" ht="23.25">
      <c r="A3" s="50"/>
      <c r="B3" s="50"/>
      <c r="C3" s="50"/>
      <c r="D3" s="50"/>
      <c r="E3" s="50"/>
      <c r="F3" s="50"/>
      <c r="G3" s="50"/>
      <c r="H3" s="51"/>
      <c r="I3" s="52"/>
      <c r="J3" s="53"/>
      <c r="K3" s="53"/>
    </row>
    <row r="4" spans="1:11" ht="23.25">
      <c r="A4" s="260" t="s">
        <v>644</v>
      </c>
      <c r="B4" s="261"/>
      <c r="C4" s="261"/>
      <c r="D4" s="261"/>
      <c r="E4" s="261"/>
      <c r="F4" s="261"/>
      <c r="G4" s="261"/>
      <c r="H4" s="261"/>
      <c r="I4" s="261"/>
      <c r="J4" s="261"/>
      <c r="K4" s="262"/>
    </row>
    <row r="5" spans="1:11" ht="23.25">
      <c r="A5" s="291"/>
      <c r="B5" s="291"/>
      <c r="C5" s="291"/>
      <c r="D5" s="291"/>
      <c r="E5" s="291"/>
      <c r="F5" s="291"/>
      <c r="G5" s="291"/>
      <c r="H5" s="291"/>
      <c r="I5" s="291"/>
      <c r="J5" s="53"/>
      <c r="K5" s="53"/>
    </row>
    <row r="6" spans="1:11" ht="18">
      <c r="A6" s="2" t="s">
        <v>341</v>
      </c>
      <c r="B6" s="55"/>
      <c r="C6" s="55"/>
      <c r="D6" s="55"/>
      <c r="E6" s="55"/>
      <c r="F6" s="55"/>
      <c r="G6" s="55"/>
      <c r="H6" s="55"/>
      <c r="I6" s="55"/>
      <c r="J6" s="55"/>
      <c r="K6" s="56"/>
    </row>
    <row r="7" spans="1:11" ht="15">
      <c r="A7" s="317" t="str">
        <f>'[1]AR CONDICIONADO'!A7:D7</f>
        <v>REFERENCIA : INSTALAÇÕES DE AR CONDICIONADO</v>
      </c>
      <c r="B7" s="318"/>
      <c r="C7" s="318"/>
      <c r="D7" s="318"/>
      <c r="E7" s="318"/>
      <c r="F7" s="318"/>
      <c r="G7" s="319"/>
      <c r="H7" s="54" t="str">
        <f>'[1]AR CONDICIONADO'!E7</f>
        <v>CONTRATO:363.358-88</v>
      </c>
      <c r="I7" s="55"/>
      <c r="J7" s="55"/>
      <c r="K7" s="56"/>
    </row>
    <row r="8" spans="1:11" ht="15">
      <c r="A8" s="317" t="str">
        <f>'[1]AR CONDICIONADO'!A8:I8</f>
        <v>LOCAL: BAIRRO ALTO DA COLINA - PATOS DE MINAS/MG</v>
      </c>
      <c r="B8" s="318"/>
      <c r="C8" s="318"/>
      <c r="D8" s="318"/>
      <c r="E8" s="318"/>
      <c r="F8" s="318"/>
      <c r="G8" s="318"/>
      <c r="H8" s="318"/>
      <c r="I8" s="318"/>
      <c r="J8" s="318"/>
      <c r="K8" s="319"/>
    </row>
    <row r="9" spans="1:11" ht="15">
      <c r="A9" s="271" t="s">
        <v>33</v>
      </c>
      <c r="B9" s="254"/>
      <c r="C9" s="254"/>
      <c r="D9" s="254"/>
      <c r="E9" s="255"/>
      <c r="F9" s="285" t="str">
        <f>'[1]AR CONDICIONADO'!E9</f>
        <v>CREA: MG-30.465/D</v>
      </c>
      <c r="G9" s="285"/>
      <c r="H9" s="285"/>
      <c r="I9" s="286" t="s">
        <v>438</v>
      </c>
      <c r="J9" s="287"/>
      <c r="K9" s="288"/>
    </row>
    <row r="10" spans="1:11" ht="15">
      <c r="A10" s="314" t="s">
        <v>439</v>
      </c>
      <c r="B10" s="315"/>
      <c r="C10" s="315"/>
      <c r="D10" s="315"/>
      <c r="E10" s="315"/>
      <c r="F10" s="315"/>
      <c r="G10" s="315"/>
      <c r="H10" s="315"/>
      <c r="I10" s="315"/>
      <c r="J10" s="315"/>
      <c r="K10" s="316"/>
    </row>
    <row r="11" spans="1:11" s="57" customFormat="1" ht="4.5" customHeight="1" thickBot="1">
      <c r="A11" s="281"/>
      <c r="B11" s="281"/>
      <c r="C11" s="281"/>
      <c r="D11" s="59"/>
      <c r="E11" s="59"/>
      <c r="F11" s="59"/>
      <c r="G11" s="59"/>
      <c r="H11" s="59"/>
      <c r="I11" s="59"/>
      <c r="J11" s="59"/>
      <c r="K11" s="59"/>
    </row>
    <row r="12" spans="1:11" s="57" customFormat="1" ht="12.75">
      <c r="A12" s="60"/>
      <c r="B12" s="61"/>
      <c r="C12" s="61"/>
      <c r="D12" s="61"/>
      <c r="E12" s="61"/>
      <c r="F12" s="61"/>
      <c r="G12" s="61"/>
      <c r="H12" s="61"/>
      <c r="I12" s="61"/>
      <c r="J12" s="61"/>
      <c r="K12" s="62"/>
    </row>
    <row r="13" spans="1:11" s="57" customFormat="1" ht="12.75">
      <c r="A13" s="63" t="s">
        <v>645</v>
      </c>
      <c r="B13" s="59"/>
      <c r="C13" s="59"/>
      <c r="D13" s="59"/>
      <c r="E13" s="59"/>
      <c r="F13" s="59"/>
      <c r="G13" s="59"/>
      <c r="H13" s="59"/>
      <c r="I13" s="59"/>
      <c r="J13" s="59"/>
      <c r="K13" s="64"/>
    </row>
    <row r="14" spans="1:11" s="57" customFormat="1" ht="13.5" thickBot="1">
      <c r="A14" s="63"/>
      <c r="B14" s="59"/>
      <c r="C14" s="59"/>
      <c r="D14" s="59"/>
      <c r="E14" s="59"/>
      <c r="F14" s="59"/>
      <c r="G14" s="59"/>
      <c r="H14" s="59"/>
      <c r="I14" s="59"/>
      <c r="J14" s="59"/>
      <c r="K14" s="64"/>
    </row>
    <row r="15" spans="1:11" s="57" customFormat="1" ht="13.5" thickBot="1">
      <c r="A15" s="63"/>
      <c r="B15" s="65">
        <v>0.0005</v>
      </c>
      <c r="C15" s="59"/>
      <c r="D15" s="59"/>
      <c r="E15" s="59"/>
      <c r="F15" s="59"/>
      <c r="G15" s="59"/>
      <c r="H15" s="59"/>
      <c r="I15" s="59"/>
      <c r="J15" s="59"/>
      <c r="K15" s="64"/>
    </row>
    <row r="16" spans="1:11" s="57" customFormat="1" ht="12.75">
      <c r="A16" s="63"/>
      <c r="B16" s="59"/>
      <c r="C16" s="59"/>
      <c r="D16" s="59"/>
      <c r="E16" s="66" t="s">
        <v>646</v>
      </c>
      <c r="F16" s="59"/>
      <c r="G16" s="59"/>
      <c r="H16" s="59"/>
      <c r="I16" s="67" t="s">
        <v>647</v>
      </c>
      <c r="J16" s="68">
        <f>1+B19+B23+B31</f>
        <v>1.0289</v>
      </c>
      <c r="K16" s="64"/>
    </row>
    <row r="17" spans="1:11" s="57" customFormat="1" ht="12.75">
      <c r="A17" s="63" t="s">
        <v>648</v>
      </c>
      <c r="B17" s="59"/>
      <c r="C17" s="59"/>
      <c r="D17" s="59"/>
      <c r="E17" s="66" t="s">
        <v>649</v>
      </c>
      <c r="F17" s="59"/>
      <c r="G17" s="59"/>
      <c r="H17" s="59"/>
      <c r="I17" s="67" t="s">
        <v>650</v>
      </c>
      <c r="J17" s="68">
        <f>1+B15</f>
        <v>1.0005</v>
      </c>
      <c r="K17" s="64"/>
    </row>
    <row r="18" spans="1:11" s="57" customFormat="1" ht="13.5" thickBot="1">
      <c r="A18" s="63"/>
      <c r="B18" s="59"/>
      <c r="C18" s="59"/>
      <c r="D18" s="59"/>
      <c r="E18" s="66" t="s">
        <v>651</v>
      </c>
      <c r="F18" s="59"/>
      <c r="G18" s="59"/>
      <c r="H18" s="59"/>
      <c r="I18" s="67" t="s">
        <v>652</v>
      </c>
      <c r="J18" s="68">
        <f>1+B27</f>
        <v>1.0383</v>
      </c>
      <c r="K18" s="64"/>
    </row>
    <row r="19" spans="1:11" s="57" customFormat="1" ht="13.5" thickBot="1">
      <c r="A19" s="63"/>
      <c r="B19" s="65">
        <v>0</v>
      </c>
      <c r="C19" s="59"/>
      <c r="D19" s="59"/>
      <c r="E19" s="66" t="s">
        <v>653</v>
      </c>
      <c r="F19" s="59"/>
      <c r="G19" s="59"/>
      <c r="H19" s="59"/>
      <c r="I19" s="67" t="s">
        <v>654</v>
      </c>
      <c r="J19" s="68">
        <f>1-C36-E36-G36-C38</f>
        <v>0.9635</v>
      </c>
      <c r="K19" s="64"/>
    </row>
    <row r="20" spans="1:11" s="57" customFormat="1" ht="12.75">
      <c r="A20" s="63"/>
      <c r="B20" s="59"/>
      <c r="C20" s="59"/>
      <c r="D20" s="59"/>
      <c r="E20" s="59"/>
      <c r="F20" s="59"/>
      <c r="G20" s="59"/>
      <c r="H20" s="59"/>
      <c r="I20" s="59"/>
      <c r="J20" s="59"/>
      <c r="K20" s="64"/>
    </row>
    <row r="21" spans="1:11" s="57" customFormat="1" ht="12.75">
      <c r="A21" s="63" t="s">
        <v>655</v>
      </c>
      <c r="B21" s="59"/>
      <c r="C21" s="59"/>
      <c r="D21" s="59"/>
      <c r="E21" s="59"/>
      <c r="F21" s="59"/>
      <c r="G21" s="59"/>
      <c r="H21" s="59"/>
      <c r="I21" s="59"/>
      <c r="J21" s="59"/>
      <c r="K21" s="64"/>
    </row>
    <row r="22" spans="1:11" s="57" customFormat="1" ht="13.5" thickBot="1">
      <c r="A22" s="63"/>
      <c r="B22" s="59"/>
      <c r="C22" s="59"/>
      <c r="D22" s="59"/>
      <c r="E22" s="59"/>
      <c r="F22" s="59"/>
      <c r="G22" s="59"/>
      <c r="H22" s="59"/>
      <c r="I22" s="59"/>
      <c r="J22" s="59"/>
      <c r="K22" s="64"/>
    </row>
    <row r="23" spans="1:11" s="57" customFormat="1" ht="13.5" thickBot="1">
      <c r="A23" s="63"/>
      <c r="B23" s="65">
        <v>0.0259</v>
      </c>
      <c r="C23" s="59"/>
      <c r="D23" s="59"/>
      <c r="E23" s="59"/>
      <c r="F23" s="59"/>
      <c r="G23" s="59"/>
      <c r="H23" s="59"/>
      <c r="I23" s="59"/>
      <c r="J23" s="59"/>
      <c r="K23" s="64"/>
    </row>
    <row r="24" spans="1:11" s="57" customFormat="1" ht="12.75">
      <c r="A24" s="63"/>
      <c r="B24" s="59"/>
      <c r="C24" s="59"/>
      <c r="D24" s="59"/>
      <c r="E24" s="59"/>
      <c r="F24" s="59"/>
      <c r="G24" s="59"/>
      <c r="H24" s="59"/>
      <c r="I24" s="59"/>
      <c r="J24" s="59"/>
      <c r="K24" s="64"/>
    </row>
    <row r="25" spans="1:11" s="57" customFormat="1" ht="12.75">
      <c r="A25" s="63" t="s">
        <v>656</v>
      </c>
      <c r="B25" s="59"/>
      <c r="C25" s="59"/>
      <c r="D25" s="59"/>
      <c r="E25" s="59"/>
      <c r="F25" s="59"/>
      <c r="G25" s="59"/>
      <c r="H25" s="59"/>
      <c r="I25" s="59"/>
      <c r="J25" s="59"/>
      <c r="K25" s="64"/>
    </row>
    <row r="26" spans="1:11" s="57" customFormat="1" ht="13.5" thickBot="1">
      <c r="A26" s="63"/>
      <c r="B26" s="59"/>
      <c r="C26" s="59"/>
      <c r="D26" s="59"/>
      <c r="E26" s="59"/>
      <c r="F26" s="59"/>
      <c r="G26" s="59"/>
      <c r="H26" s="59"/>
      <c r="I26" s="59"/>
      <c r="J26" s="59"/>
      <c r="K26" s="64"/>
    </row>
    <row r="27" spans="1:11" s="57" customFormat="1" ht="13.5" thickBot="1">
      <c r="A27" s="63"/>
      <c r="B27" s="65">
        <v>0.0383</v>
      </c>
      <c r="C27" s="59"/>
      <c r="D27" s="59"/>
      <c r="E27" s="59"/>
      <c r="F27" s="59"/>
      <c r="G27" s="59"/>
      <c r="H27" s="59"/>
      <c r="I27" s="59"/>
      <c r="J27" s="59"/>
      <c r="K27" s="64"/>
    </row>
    <row r="28" spans="1:11" s="57" customFormat="1" ht="12.75">
      <c r="A28" s="63"/>
      <c r="B28" s="59"/>
      <c r="C28" s="59"/>
      <c r="D28" s="59"/>
      <c r="E28" s="59"/>
      <c r="F28" s="59"/>
      <c r="G28" s="59"/>
      <c r="H28" s="59"/>
      <c r="I28" s="59"/>
      <c r="J28" s="59"/>
      <c r="K28" s="64"/>
    </row>
    <row r="29" spans="1:11" s="57" customFormat="1" ht="12.75">
      <c r="A29" s="63" t="s">
        <v>657</v>
      </c>
      <c r="B29" s="59"/>
      <c r="C29" s="59"/>
      <c r="D29" s="59"/>
      <c r="E29" s="59"/>
      <c r="F29" s="59"/>
      <c r="G29" s="59"/>
      <c r="H29" s="59"/>
      <c r="I29" s="59"/>
      <c r="J29" s="59"/>
      <c r="K29" s="64"/>
    </row>
    <row r="30" spans="1:11" s="57" customFormat="1" ht="13.5" thickBot="1">
      <c r="A30" s="63"/>
      <c r="B30" s="59"/>
      <c r="C30" s="59"/>
      <c r="D30" s="59"/>
      <c r="E30" s="59"/>
      <c r="F30" s="59"/>
      <c r="G30" s="59"/>
      <c r="H30" s="59"/>
      <c r="I30" s="59"/>
      <c r="J30" s="59"/>
      <c r="K30" s="64"/>
    </row>
    <row r="31" spans="1:11" s="57" customFormat="1" ht="13.5" thickBot="1">
      <c r="A31" s="63"/>
      <c r="B31" s="65">
        <v>0.003</v>
      </c>
      <c r="C31" s="59"/>
      <c r="D31" s="59"/>
      <c r="E31" s="59"/>
      <c r="F31" s="59"/>
      <c r="G31" s="59"/>
      <c r="H31" s="59"/>
      <c r="I31" s="59"/>
      <c r="J31" s="59"/>
      <c r="K31" s="64"/>
    </row>
    <row r="32" spans="1:11" s="57" customFormat="1" ht="12.75">
      <c r="A32" s="63"/>
      <c r="B32" s="69"/>
      <c r="C32" s="59"/>
      <c r="D32" s="59"/>
      <c r="E32" s="59"/>
      <c r="F32" s="59"/>
      <c r="G32" s="59"/>
      <c r="H32" s="59"/>
      <c r="I32" s="59"/>
      <c r="J32" s="59"/>
      <c r="K32" s="64"/>
    </row>
    <row r="33" spans="1:11" s="57" customFormat="1" ht="25.5" customHeight="1">
      <c r="A33" s="282" t="s">
        <v>658</v>
      </c>
      <c r="B33" s="283"/>
      <c r="C33" s="283"/>
      <c r="D33" s="283"/>
      <c r="E33" s="283"/>
      <c r="F33" s="283"/>
      <c r="G33" s="283"/>
      <c r="H33" s="283"/>
      <c r="I33" s="283"/>
      <c r="J33" s="283"/>
      <c r="K33" s="284"/>
    </row>
    <row r="34" spans="1:11" s="57" customFormat="1" ht="12.75">
      <c r="A34" s="70" t="s">
        <v>659</v>
      </c>
      <c r="B34" s="59"/>
      <c r="C34" s="59"/>
      <c r="D34" s="59"/>
      <c r="E34" s="59"/>
      <c r="F34" s="59"/>
      <c r="G34" s="59"/>
      <c r="H34" s="59"/>
      <c r="I34" s="59"/>
      <c r="J34" s="59"/>
      <c r="K34" s="64"/>
    </row>
    <row r="35" spans="1:11" s="57" customFormat="1" ht="13.5" thickBot="1">
      <c r="A35" s="63"/>
      <c r="B35" s="59"/>
      <c r="C35" s="59"/>
      <c r="D35" s="59"/>
      <c r="E35" s="59"/>
      <c r="F35" s="59"/>
      <c r="G35" s="59"/>
      <c r="H35" s="59"/>
      <c r="I35" s="59"/>
      <c r="J35" s="59"/>
      <c r="K35" s="64"/>
    </row>
    <row r="36" spans="1:11" s="57" customFormat="1" ht="13.5" thickBot="1">
      <c r="A36" s="63"/>
      <c r="B36" s="59" t="s">
        <v>660</v>
      </c>
      <c r="C36" s="65">
        <v>0.03</v>
      </c>
      <c r="D36" s="71" t="s">
        <v>661</v>
      </c>
      <c r="E36" s="65">
        <v>0.0065</v>
      </c>
      <c r="F36" s="71" t="s">
        <v>662</v>
      </c>
      <c r="G36" s="65"/>
      <c r="H36" s="59"/>
      <c r="I36" s="59"/>
      <c r="J36" s="72"/>
      <c r="K36" s="64"/>
    </row>
    <row r="37" spans="1:11" s="57" customFormat="1" ht="13.5" thickBot="1">
      <c r="A37" s="63"/>
      <c r="B37" s="59"/>
      <c r="C37" s="59"/>
      <c r="D37" s="59"/>
      <c r="E37" s="59"/>
      <c r="F37" s="59"/>
      <c r="G37" s="59"/>
      <c r="H37" s="59"/>
      <c r="I37" s="59"/>
      <c r="J37" s="72"/>
      <c r="K37" s="64"/>
    </row>
    <row r="38" spans="1:11" s="57" customFormat="1" ht="13.5" thickBot="1">
      <c r="A38" s="63"/>
      <c r="B38" s="59" t="s">
        <v>663</v>
      </c>
      <c r="C38" s="65">
        <v>0</v>
      </c>
      <c r="D38" s="59"/>
      <c r="E38" s="59"/>
      <c r="F38" s="69"/>
      <c r="G38" s="59"/>
      <c r="H38" s="59"/>
      <c r="I38" s="72"/>
      <c r="J38" s="59"/>
      <c r="K38" s="64"/>
    </row>
    <row r="39" spans="1:11" s="57" customFormat="1" ht="12.75">
      <c r="A39" s="63"/>
      <c r="B39" s="59"/>
      <c r="C39" s="59"/>
      <c r="D39" s="59"/>
      <c r="E39" s="59"/>
      <c r="F39" s="59"/>
      <c r="G39" s="59"/>
      <c r="H39" s="59"/>
      <c r="I39" s="59"/>
      <c r="J39" s="59"/>
      <c r="K39" s="64"/>
    </row>
    <row r="40" spans="1:11" s="57" customFormat="1" ht="15.75">
      <c r="A40" s="63"/>
      <c r="B40" s="73"/>
      <c r="C40" s="73" t="s">
        <v>664</v>
      </c>
      <c r="D40" s="74">
        <f>(J16*J17*J18/J19)-1</f>
        <v>0.10933162785158235</v>
      </c>
      <c r="E40" s="59"/>
      <c r="F40" s="59"/>
      <c r="G40" s="59"/>
      <c r="H40" s="59"/>
      <c r="I40" s="59"/>
      <c r="J40" s="59"/>
      <c r="K40" s="64"/>
    </row>
    <row r="41" spans="1:11" ht="13.5" thickBot="1">
      <c r="A41" s="75"/>
      <c r="B41" s="76"/>
      <c r="C41" s="76"/>
      <c r="D41" s="76"/>
      <c r="E41" s="76"/>
      <c r="F41" s="76"/>
      <c r="G41" s="76"/>
      <c r="H41" s="76"/>
      <c r="I41" s="76"/>
      <c r="J41" s="76"/>
      <c r="K41" s="77"/>
    </row>
  </sheetData>
  <sheetProtection password="F751" sheet="1" objects="1" scenarios="1"/>
  <mergeCells count="12">
    <mergeCell ref="A1:K1"/>
    <mergeCell ref="A2:K2"/>
    <mergeCell ref="A4:K4"/>
    <mergeCell ref="A5:I5"/>
    <mergeCell ref="A10:K10"/>
    <mergeCell ref="A11:C11"/>
    <mergeCell ref="A33:K33"/>
    <mergeCell ref="A7:G7"/>
    <mergeCell ref="A8:K8"/>
    <mergeCell ref="A9:E9"/>
    <mergeCell ref="F9:H9"/>
    <mergeCell ref="I9:K9"/>
  </mergeCells>
  <printOptions/>
  <pageMargins left="0.3937007874015748" right="0.3937007874015748" top="0.984251968503937" bottom="0.984251968503937" header="0.5118110236220472" footer="0.5118110236220472"/>
  <pageSetup horizontalDpi="200" verticalDpi="200" orientation="portrait" paperSize="9" scale="90" r:id="rId4"/>
  <legacyDrawing r:id="rId3"/>
  <oleObjects>
    <oleObject progId="Word.Picture.8" shapeId="684754" r:id="rId1"/>
    <oleObject progId="Word.Picture.8" shapeId="684755" r:id="rId2"/>
  </oleObject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angelita</cp:lastModifiedBy>
  <cp:lastPrinted>2012-02-06T18:09:04Z</cp:lastPrinted>
  <dcterms:created xsi:type="dcterms:W3CDTF">2011-09-09T15:10:44Z</dcterms:created>
  <dcterms:modified xsi:type="dcterms:W3CDTF">2012-02-06T19:37:26Z</dcterms:modified>
  <cp:category/>
  <cp:version/>
  <cp:contentType/>
  <cp:contentStatus/>
</cp:coreProperties>
</file>