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10" activeTab="3"/>
  </bookViews>
  <sheets>
    <sheet name="Pick Up Fiorino Coleta Hospital" sheetId="1" r:id="rId1"/>
    <sheet name="Mâo-de-obra Coleta Hospitalar" sheetId="2" r:id="rId2"/>
    <sheet name="Encargos Sociais" sheetId="3" r:id="rId3"/>
    <sheet name="Quadro Resumo" sheetId="4" r:id="rId4"/>
  </sheets>
  <externalReferences>
    <externalReference r:id="rId7"/>
  </externalReferences>
  <definedNames>
    <definedName name="_xlnm.Print_Area" localSheetId="1">'Mâo-de-obra Coleta Hospitalar'!$A$1:$K$58</definedName>
    <definedName name="_xlnm.Print_Area" localSheetId="0">'Pick Up Fiorino Coleta Hospital'!$A$1:$W$68</definedName>
  </definedNames>
  <calcPr fullCalcOnLoad="1" fullPrecision="0"/>
</workbook>
</file>

<file path=xl/sharedStrings.xml><?xml version="1.0" encoding="utf-8"?>
<sst xmlns="http://schemas.openxmlformats.org/spreadsheetml/2006/main" count="420" uniqueCount="241">
  <si>
    <t>DESCRIÇÃO   DOS   SERVIÇOS</t>
  </si>
  <si>
    <t>EQUIPAMENTOS</t>
  </si>
  <si>
    <t>MÃO-DE-OBRA</t>
  </si>
  <si>
    <t>TOTAL</t>
  </si>
  <si>
    <t>Preço  por  Kg</t>
  </si>
  <si>
    <t>Qtde  Mês</t>
  </si>
  <si>
    <t xml:space="preserve">01 PICK UP FURGÃO </t>
  </si>
  <si>
    <t>Sub  Total  ( EQUIPAMENTOS )</t>
  </si>
  <si>
    <t xml:space="preserve">MÃO-DE-OBRA ( 01  MOTORISTA  e  01  COLETOR ) </t>
  </si>
  <si>
    <t xml:space="preserve">DEMONSTRATIVO MENSAL DE CUSTO OPERACIONAL UNITÁRIO DE VEÍCULO </t>
  </si>
  <si>
    <t>%</t>
  </si>
  <si>
    <t>QUADRO  3  -  COMPOSIÇÃO DE CUSTO VARIÁVEL/KM</t>
  </si>
  <si>
    <t>QUADRO  1 -  COMPOSIÇÃO DE CUSTO FIXO</t>
  </si>
  <si>
    <t>Reserva Técnica</t>
  </si>
  <si>
    <t>às</t>
  </si>
  <si>
    <t>Hs</t>
  </si>
  <si>
    <t>Contratante:</t>
  </si>
  <si>
    <t>PREFEITURA   MUNICIPAL   DE   PATOS   DE   MINAS - MG</t>
  </si>
  <si>
    <t xml:space="preserve">Km Estimada: </t>
  </si>
  <si>
    <t>Km</t>
  </si>
  <si>
    <t xml:space="preserve">BASE </t>
  </si>
  <si>
    <t>Horário:</t>
  </si>
  <si>
    <t>QTDE</t>
  </si>
  <si>
    <t>UNIDADE</t>
  </si>
  <si>
    <t>CONSUMO</t>
  </si>
  <si>
    <t>ITEM</t>
  </si>
  <si>
    <t>D E S C R I Ç Ã O</t>
  </si>
  <si>
    <t>FATOR</t>
  </si>
  <si>
    <t>DE</t>
  </si>
  <si>
    <t>VALOR (R $)</t>
  </si>
  <si>
    <t>CÁLCULO</t>
  </si>
  <si>
    <t>ÍNDICE</t>
  </si>
  <si>
    <t>PRAZO</t>
  </si>
  <si>
    <t xml:space="preserve"> 3- </t>
  </si>
  <si>
    <t>CUSTO VARIÁVEL / KM</t>
  </si>
  <si>
    <t xml:space="preserve"> 1-</t>
  </si>
  <si>
    <t>CUSTO FIXO MENSAL</t>
  </si>
  <si>
    <t>s/ deprec.</t>
  </si>
  <si>
    <t xml:space="preserve"> 3-1</t>
  </si>
  <si>
    <t>Pecas/manutenção.........................................................................................</t>
  </si>
  <si>
    <t>************</t>
  </si>
  <si>
    <t xml:space="preserve"> 3-2</t>
  </si>
  <si>
    <t>Sal. pess. de oficina.........................................................................................................</t>
  </si>
  <si>
    <t>mês</t>
  </si>
  <si>
    <t>*******</t>
  </si>
  <si>
    <t xml:space="preserve"> 1-1</t>
  </si>
  <si>
    <t>Depreciação</t>
  </si>
  <si>
    <t>unidades</t>
  </si>
  <si>
    <t xml:space="preserve"> 3-3</t>
  </si>
  <si>
    <t>Pneus e camaras e recapagens....</t>
  </si>
  <si>
    <t xml:space="preserve"> 1-1.1</t>
  </si>
  <si>
    <t>Depreciação ( Reserva Técnica )</t>
  </si>
  <si>
    <t>0,00%</t>
  </si>
  <si>
    <t>litros</t>
  </si>
  <si>
    <t xml:space="preserve"> 3-4</t>
  </si>
  <si>
    <t>Combustível.............................................................................................................................</t>
  </si>
  <si>
    <t xml:space="preserve"> 1-2</t>
  </si>
  <si>
    <t>Renumeração do Capital</t>
  </si>
  <si>
    <t xml:space="preserve"> 3-5</t>
  </si>
  <si>
    <t>Oleo de carter..........................................................................................................................</t>
  </si>
  <si>
    <t xml:space="preserve"> 1-2.1</t>
  </si>
  <si>
    <t>Renumeração do Capital ( Reserva Técnica )</t>
  </si>
  <si>
    <t xml:space="preserve"> 3-6</t>
  </si>
  <si>
    <t>Oleo de câmbio e diferencial............................................................................</t>
  </si>
  <si>
    <t>anual</t>
  </si>
  <si>
    <t xml:space="preserve"> 1-3</t>
  </si>
  <si>
    <t>Licenciamento</t>
  </si>
  <si>
    <t xml:space="preserve"> 3-7</t>
  </si>
  <si>
    <t>Lavagem e graxas........................................................................................................................</t>
  </si>
  <si>
    <t xml:space="preserve"> 1-4</t>
  </si>
  <si>
    <t xml:space="preserve">IPVA </t>
  </si>
  <si>
    <t>%  veiculo</t>
  </si>
  <si>
    <t xml:space="preserve"> 1-5</t>
  </si>
  <si>
    <t xml:space="preserve"> 3-8</t>
  </si>
  <si>
    <t>CUSTO VARIÁVEL POR KM (3.1 A 3.7)</t>
  </si>
  <si>
    <t xml:space="preserve"> 1-6</t>
  </si>
  <si>
    <t>CUSTO FIXO MENSAL DO VEICULO (1.1 A 1.5)</t>
  </si>
  <si>
    <t>% Util. do Veículo</t>
  </si>
  <si>
    <t>% Km efetiva</t>
  </si>
  <si>
    <t>Km efetiva</t>
  </si>
  <si>
    <t xml:space="preserve"> 1-7</t>
  </si>
  <si>
    <t xml:space="preserve">Km Improdutivo </t>
  </si>
  <si>
    <t>QUADRO  4  -  COMPOSIÇÃO DE PRECO / KM</t>
  </si>
  <si>
    <t>DESCRIÇÃO</t>
  </si>
  <si>
    <t>PRECO/KM</t>
  </si>
  <si>
    <t xml:space="preserve"> 4-</t>
  </si>
  <si>
    <t>PRECO VARIAVEL / KM</t>
  </si>
  <si>
    <t xml:space="preserve"> 1-8</t>
  </si>
  <si>
    <t xml:space="preserve"> 4-1</t>
  </si>
  <si>
    <t>Custo Variável total/Km</t>
  </si>
  <si>
    <t xml:space="preserve"> 4-2</t>
  </si>
  <si>
    <t xml:space="preserve">     QUADRO  2  -  COMPOSIÇÃO DE PREÇOS</t>
  </si>
  <si>
    <t xml:space="preserve"> 4-3</t>
  </si>
  <si>
    <t>Administração Geral</t>
  </si>
  <si>
    <t>**********</t>
  </si>
  <si>
    <t xml:space="preserve"> 4-4</t>
  </si>
  <si>
    <t xml:space="preserve"> 4-5</t>
  </si>
  <si>
    <t>Encargos Financeiros</t>
  </si>
  <si>
    <t xml:space="preserve"> 4-6</t>
  </si>
  <si>
    <t xml:space="preserve"> 4-7</t>
  </si>
  <si>
    <t>Lucro pretendido(% 4.6)</t>
  </si>
  <si>
    <t xml:space="preserve"> 2-1</t>
  </si>
  <si>
    <t xml:space="preserve"> 4-8</t>
  </si>
  <si>
    <t xml:space="preserve"> 2-2</t>
  </si>
  <si>
    <t xml:space="preserve"> C</t>
  </si>
  <si>
    <t>Impostos</t>
  </si>
  <si>
    <t xml:space="preserve"> 2-3</t>
  </si>
  <si>
    <t xml:space="preserve"> 2-4</t>
  </si>
  <si>
    <t xml:space="preserve"> 2-5</t>
  </si>
  <si>
    <t xml:space="preserve"> 2-6</t>
  </si>
  <si>
    <t>QUADRO 5 - CUSTO UNITÁRIO TOTAL</t>
  </si>
  <si>
    <t xml:space="preserve"> 2-7</t>
  </si>
  <si>
    <t>4-10</t>
  </si>
  <si>
    <t>Preço Variável Mensal (4.9 x Km Estimada )</t>
  </si>
  <si>
    <t xml:space="preserve"> 2-8</t>
  </si>
  <si>
    <t>SUB TOTAL 3(2-6 A 2-7)</t>
  </si>
  <si>
    <t>4-11</t>
  </si>
  <si>
    <t>Preço  Fixo Unitário Mensal( 2-9 )</t>
  </si>
  <si>
    <t xml:space="preserve"> A</t>
  </si>
  <si>
    <t>4-12</t>
  </si>
  <si>
    <t>Nota Explicativa : Os campos em branco deverão ser preenchidos de acordo com os custos do proponente.</t>
  </si>
  <si>
    <t>% acréscimo</t>
  </si>
  <si>
    <t>Horas</t>
  </si>
  <si>
    <t xml:space="preserve">% </t>
  </si>
  <si>
    <t>Encargos Sociais e Trabalhistas</t>
  </si>
  <si>
    <t>Cesta Básica</t>
  </si>
  <si>
    <t>Alimentação ( Cesta Básica )</t>
  </si>
  <si>
    <t>unidade</t>
  </si>
  <si>
    <t xml:space="preserve"> 1-9</t>
  </si>
  <si>
    <t>Uniformes</t>
  </si>
  <si>
    <t xml:space="preserve"> 1-10</t>
  </si>
  <si>
    <t xml:space="preserve"> 1-11</t>
  </si>
  <si>
    <t>Seguro de Vida</t>
  </si>
  <si>
    <t xml:space="preserve"> 1-12</t>
  </si>
  <si>
    <t>EPIs</t>
  </si>
  <si>
    <t>Vale Transporte</t>
  </si>
  <si>
    <t>Desconto vale transporte</t>
  </si>
  <si>
    <t>Custo fixo total (1.12)</t>
  </si>
  <si>
    <t>INSUMOS</t>
  </si>
  <si>
    <t>DEMONSTRATIVO MENSAL DE MÃO-DE-OBRA</t>
  </si>
  <si>
    <t>REGIME     ADMINISTRATIVO     POR     VEÍCULO</t>
  </si>
  <si>
    <t>Salário do motorista</t>
  </si>
  <si>
    <t>Salário do Coletor</t>
  </si>
  <si>
    <t>Adicional Insalubridade</t>
  </si>
  <si>
    <t>CUSTO  DE  MÃO-DE-OBRA   DE   TRANSPORTE   DE   LIXO   HOSPITALAR</t>
  </si>
  <si>
    <t>Descrição dos Cargos: MOTORISTAS  e  COLETOR</t>
  </si>
  <si>
    <t>CUSTO   DE   VEÍCULO   COLETA   HOSPITALAR</t>
  </si>
  <si>
    <t>VEICULO SEM MOTORISTA   -  REGIME ADMINISTRATIVO</t>
  </si>
  <si>
    <t>Descrição do Veiculo: PICK UP  FURGÃO  FIORINO   ou   SIMILAR</t>
  </si>
  <si>
    <t>Tipo de Combustível: Gasolina</t>
  </si>
  <si>
    <t>Qtde de Kg / mês</t>
  </si>
  <si>
    <t xml:space="preserve">Horário: </t>
  </si>
  <si>
    <t>Balança móvel para aferição até 100 Kg</t>
  </si>
  <si>
    <t xml:space="preserve">COMPOSIÇÃO ANALÍTICA DA TAXA DE ENCARGOS SOCIAIS </t>
  </si>
  <si>
    <t xml:space="preserve">        INCIDÊNCIA SOBRE O VALOR DA HORA NORMAL EFETIVAMENTE TRABALHADA</t>
  </si>
  <si>
    <t>TAXA</t>
  </si>
  <si>
    <t>GRUPO "A" - ENCARGOS SOCIAIS BÁSICOS</t>
  </si>
  <si>
    <t>A.1</t>
  </si>
  <si>
    <t>PREVIDÊNCIA SOCIAL (INSS)</t>
  </si>
  <si>
    <t>A.2</t>
  </si>
  <si>
    <t>FUNDO DE GARANTIA POR TEMPO DE SERVIÇO (FGTS)</t>
  </si>
  <si>
    <t>A.3</t>
  </si>
  <si>
    <t>SALÁRIO EDUCAÇÃO</t>
  </si>
  <si>
    <t>A.4</t>
  </si>
  <si>
    <t xml:space="preserve">SESI </t>
  </si>
  <si>
    <t>A.5</t>
  </si>
  <si>
    <t>SERVIÇO NACIONAL DE APRENDIZAGEM INDUSTRIAL (SENAI)</t>
  </si>
  <si>
    <t>A.6</t>
  </si>
  <si>
    <t>SERVIÇO DE APOIO À PEQUENA E MÉDIA EMPRESA (SEBRAE)</t>
  </si>
  <si>
    <t>A.7</t>
  </si>
  <si>
    <t>INSTITUTO NACIONAL DE COLONIZAÇÃO E REFORMA AGRÁRIA ( INCRA )</t>
  </si>
  <si>
    <t>A.8</t>
  </si>
  <si>
    <t xml:space="preserve">SEGURO CONTRA OS ACIDENTES DE TRABALHO </t>
  </si>
  <si>
    <t>A.9</t>
  </si>
  <si>
    <t>CONTRIBUIÇÃO SINDICAL</t>
  </si>
  <si>
    <t>SUBTOTAL DO GRUPO "A"</t>
  </si>
  <si>
    <t>GRUPO "B" - ENCARGOS SOCIAIS QUE RECEBEM INCIDÊNCIA DE "A"</t>
  </si>
  <si>
    <t>B.1</t>
  </si>
  <si>
    <t>AUXÍLIO ENFERMIDADE (≤ 15 DIAS )</t>
  </si>
  <si>
    <t>B.2</t>
  </si>
  <si>
    <t>FALTAS LEGAIS</t>
  </si>
  <si>
    <t>B.3</t>
  </si>
  <si>
    <t>LICENÇA PATERNIDADE</t>
  </si>
  <si>
    <t>B.4</t>
  </si>
  <si>
    <t>AUXÍLIO ACIDENTE DE TRABALHO (≤ 15 DIAS )</t>
  </si>
  <si>
    <t>B.5</t>
  </si>
  <si>
    <t>AVISO PRÉVIO TRABALHADO</t>
  </si>
  <si>
    <t>B.6</t>
  </si>
  <si>
    <t>FÉRIAS GOZADAS + GRATIFICAÇÃO</t>
  </si>
  <si>
    <t>B.7</t>
  </si>
  <si>
    <t>13º SALÁRIO</t>
  </si>
  <si>
    <t>SUBTOTAL DO GRUPO "B"</t>
  </si>
  <si>
    <t>GRUPO "C" - ENCARGOS SOCIAIS QUE NÃO RECEBEM INCIDÊNCIAS GLOBAIS DO GRUPO "A"</t>
  </si>
  <si>
    <t>C.1</t>
  </si>
  <si>
    <t>INDENIZAÇÃO ( RESCISÕES S/ JUSTA CAUSA )</t>
  </si>
  <si>
    <t>C.2</t>
  </si>
  <si>
    <t>AVISO PRÉVIO INDENIZADO</t>
  </si>
  <si>
    <t>C.3</t>
  </si>
  <si>
    <t>FÉRIAS INDENIZADAS + GRATIFICAÇÃO</t>
  </si>
  <si>
    <t>C.4</t>
  </si>
  <si>
    <t>INCIDÊNCIA FGTS SOBRE AVISO PRÉVIO INDENIZADO.</t>
  </si>
  <si>
    <t>SUBTOTAL DO GRUPO "C"</t>
  </si>
  <si>
    <t>GRUPO "D" - ( APENAS A INCIDÊNCIA DO 13º E DO FGTS NESTES PERÍODOS )</t>
  </si>
  <si>
    <t>D.1</t>
  </si>
  <si>
    <t>AUXÍLIO ACIDENTE TRABALHO ( &gt; 15 DIAS )</t>
  </si>
  <si>
    <t>SUBTOTAL DO GRUPO "D"</t>
  </si>
  <si>
    <t xml:space="preserve">GRUPO "E" - ( INCIDÊNCIA ACUMULATIVA ) </t>
  </si>
  <si>
    <t>E.1</t>
  </si>
  <si>
    <t xml:space="preserve">REINCIDÊNCIA DO GRUPO "A" SOBRE GRUPO "B" </t>
  </si>
  <si>
    <t>SUBTOTAL DO GRUPO "E"</t>
  </si>
  <si>
    <t>TOTAL GERAL</t>
  </si>
  <si>
    <t>Subtotal 1 (4.1 a 4.2)</t>
  </si>
  <si>
    <t>Subtotal 2 (4.3 + 4.4)</t>
  </si>
  <si>
    <t>Subtotal 3 (4.5 + 4.6)</t>
  </si>
  <si>
    <t>PREÇO FINAL POR  Hr.  4-7/( 1 - C )</t>
  </si>
  <si>
    <t>4-9</t>
  </si>
  <si>
    <t>PREÇO UNITÁRIO TOTAL( 4-9 + 4-10 )</t>
  </si>
  <si>
    <t>SUB-TOTAL 1 (2.1 A 2.2)</t>
  </si>
  <si>
    <t>SUB TOTAL 2(2-3 A 2-4)</t>
  </si>
  <si>
    <t>PRECO FIXO FINAL  2-7/( 1 - A )</t>
  </si>
  <si>
    <t>Lucro pretendido(% 2-5)</t>
  </si>
  <si>
    <t>PREÇO UNITÁRIO  por  Kg ( 4-12 / Kg )</t>
  </si>
  <si>
    <t>2-9</t>
  </si>
  <si>
    <t>PREÇO UNITÁRIO  por  Kg ( 2-8 / Qtde mês )</t>
  </si>
  <si>
    <t>Sub Total</t>
  </si>
  <si>
    <t>Administração Local</t>
  </si>
  <si>
    <t xml:space="preserve"> 1-9-1</t>
  </si>
  <si>
    <t>CUSTO FIXO TOTAL (1.6 a 1.9.1)</t>
  </si>
  <si>
    <t>Custo fixo total (1.10)</t>
  </si>
  <si>
    <t xml:space="preserve"> 1-11-1</t>
  </si>
  <si>
    <t>CUSTO FIXO TOTAL (1.1 a 1.11.1)</t>
  </si>
  <si>
    <t>Seguro</t>
  </si>
  <si>
    <t xml:space="preserve">Nota Explicativa 1: Considerar para preço unitário 02(duas) casas após a vírgula.  </t>
  </si>
  <si>
    <t>Global</t>
  </si>
  <si>
    <t>Patos de Minas-MG, 31 de outubro de 2016</t>
  </si>
  <si>
    <t>LOTE          01</t>
  </si>
  <si>
    <t xml:space="preserve">PROPOSTA     DE     PREÇOS     </t>
  </si>
  <si>
    <t>T O T A L     D O     LOTE          01</t>
  </si>
  <si>
    <t>Ano de Fabricação: 2011</t>
  </si>
  <si>
    <t xml:space="preserve">I T E M     01     -     C O L E  T  A     TRATAMENTO     E     D E S T I N A Ç Ã O     F I N A L     D E     R E S Í  D  U  O  S     H O S P I T A L Á R E S </t>
  </si>
  <si>
    <t>TRATAMENTO  e  DESTINAÇÃO  FINAL  DE  RSS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</si>
</sst>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0_);\(0.00\)"/>
    <numFmt numFmtId="175" formatCode="0_);\(0\)"/>
    <numFmt numFmtId="176" formatCode="#,##0_ ;\-#,##0\ "/>
    <numFmt numFmtId="177" formatCode="0.0000"/>
    <numFmt numFmtId="178" formatCode="#,##0.0000000_);\(#,##0.0000000\)"/>
    <numFmt numFmtId="179" formatCode="#,##0.0000_);\(#,##0.0000\)"/>
    <numFmt numFmtId="180" formatCode="#,##0.000_);\(#,##0.000\)"/>
    <numFmt numFmtId="181" formatCode="#,##0.00;[Red]#,##0.00"/>
    <numFmt numFmtId="182" formatCode="#,##0.00000;\-#,##0.00000"/>
    <numFmt numFmtId="183" formatCode="#,##0.00000_);\(#,##0.00000\)"/>
    <numFmt numFmtId="184" formatCode="_(* #,##0_);_(* \(#,##0\);_(* &quot;-&quot;??_);_(@_)"/>
    <numFmt numFmtId="185" formatCode="#,##0.000000;\-#,##0.000000"/>
    <numFmt numFmtId="186" formatCode="#,##0.00_ ;\-#,##0.00\ "/>
    <numFmt numFmtId="187" formatCode="#,##0.0;\-#,##0.0"/>
    <numFmt numFmtId="188" formatCode="#,##0.000;\-#,##0.000"/>
    <numFmt numFmtId="189" formatCode="#,##0.0_);\(#,##0.0\)"/>
    <numFmt numFmtId="190" formatCode="_(* #,##0.0000_);_(* \(#,##0.0000\);_(* &quot;-&quot;????_);_(@_)"/>
    <numFmt numFmtId="191" formatCode="0.000_);\(0.000\)"/>
    <numFmt numFmtId="192" formatCode="0.000%"/>
    <numFmt numFmtId="193" formatCode="0.0000%"/>
    <numFmt numFmtId="194" formatCode="0.0%"/>
    <numFmt numFmtId="195" formatCode="_(* #,##0.000_);_(* \(#,##0.000\);_(* &quot;-&quot;??_);_(@_)"/>
    <numFmt numFmtId="196" formatCode="0.0000_);\(0.0000\)"/>
    <numFmt numFmtId="197" formatCode="0.0000000"/>
    <numFmt numFmtId="198" formatCode="0.000000"/>
    <numFmt numFmtId="199" formatCode="0.00000"/>
    <numFmt numFmtId="200" formatCode="0.000"/>
    <numFmt numFmtId="201" formatCode="0.00000000"/>
    <numFmt numFmtId="202" formatCode="0.000000000"/>
    <numFmt numFmtId="203" formatCode="0.0000000000"/>
    <numFmt numFmtId="204" formatCode="0.00000000000"/>
    <numFmt numFmtId="205" formatCode="0.00000_);\(0.00000\)"/>
    <numFmt numFmtId="206" formatCode="0.000000_);\(0.000000\)"/>
    <numFmt numFmtId="207" formatCode="0.0000000_);\(0.0000000\)"/>
    <numFmt numFmtId="208" formatCode="0.00000000_);\(0.00000000\)"/>
    <numFmt numFmtId="209" formatCode="0.000000000_);\(0.000000000\)"/>
    <numFmt numFmtId="210" formatCode="0.0000000000_);\(0.0000000000\)"/>
    <numFmt numFmtId="211" formatCode="0.00000000000_);\(0.00000000000\)"/>
    <numFmt numFmtId="212" formatCode="0.000000000000_);\(0.000000000000\)"/>
    <numFmt numFmtId="213" formatCode="0.0000000000000_);\(0.0000000000000\)"/>
    <numFmt numFmtId="214" formatCode="0.00000000000000_);\(0.00000000000000\)"/>
    <numFmt numFmtId="215" formatCode="0.000000000000000_);\(0.000000000000000\)"/>
    <numFmt numFmtId="216" formatCode="#,##0.0000000;\-#,##0.0000000"/>
    <numFmt numFmtId="217" formatCode="#,##0.000000_);\(#,##0.000000\)"/>
    <numFmt numFmtId="218" formatCode="&quot;R$ &quot;#,##0.000_);\(&quot;R$ &quot;#,##0.000\)"/>
    <numFmt numFmtId="219" formatCode="&quot;R$ &quot;#,##0.0000_);\(&quot;R$ &quot;#,##0.0000\)"/>
    <numFmt numFmtId="220" formatCode="0.00_ ;\-0.00\ "/>
    <numFmt numFmtId="221" formatCode="&quot;R$&quot;\ #,##0.000;\-&quot;R$&quot;\ #,##0.000"/>
    <numFmt numFmtId="222" formatCode="&quot;R$&quot;\ #,##0.0;\-&quot;R$&quot;\ #,##0.0"/>
    <numFmt numFmtId="223" formatCode="&quot;R$ &quot;#,##0.00000_);\(&quot;R$ &quot;#,##0.00000\)"/>
    <numFmt numFmtId="224" formatCode="#,##0.0000;\-#,##0.0000"/>
    <numFmt numFmtId="225" formatCode="0.0"/>
  </numFmts>
  <fonts count="5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0"/>
      <color indexed="12"/>
      <name val="Times New Roman"/>
      <family val="1"/>
    </font>
    <font>
      <sz val="10"/>
      <color indexed="10"/>
      <name val="Courier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Courier"/>
      <family val="3"/>
    </font>
    <font>
      <b/>
      <sz val="10"/>
      <name val="Courier"/>
      <family val="3"/>
    </font>
    <font>
      <b/>
      <sz val="12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ourier"/>
      <family val="3"/>
    </font>
    <font>
      <b/>
      <sz val="14"/>
      <name val="Times New Roman"/>
      <family val="1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2"/>
      <color indexed="8"/>
      <name val="Courier"/>
      <family val="3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20"/>
      <name val="Courier"/>
      <family val="3"/>
    </font>
    <font>
      <b/>
      <i/>
      <sz val="15"/>
      <color indexed="12"/>
      <name val="Courier"/>
      <family val="3"/>
    </font>
    <font>
      <b/>
      <sz val="15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1" applyNumberFormat="0" applyAlignment="0" applyProtection="0"/>
    <xf numFmtId="0" fontId="41" fillId="12" borderId="2" applyNumberFormat="0" applyAlignment="0" applyProtection="0"/>
    <xf numFmtId="0" fontId="42" fillId="0" borderId="3" applyNumberFormat="0" applyFill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43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1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5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46" fillId="1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/>
    </xf>
    <xf numFmtId="0" fontId="9" fillId="0" borderId="0" xfId="0" applyFont="1" applyAlignment="1">
      <alignment/>
    </xf>
    <xf numFmtId="0" fontId="6" fillId="6" borderId="1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6" borderId="10" xfId="0" applyFont="1" applyFill="1" applyBorder="1" applyAlignment="1" applyProtection="1">
      <alignment horizontal="fill"/>
      <protection/>
    </xf>
    <xf numFmtId="0" fontId="2" fillId="0" borderId="0" xfId="0" applyFont="1" applyAlignment="1">
      <alignment horizontal="center"/>
    </xf>
    <xf numFmtId="0" fontId="6" fillId="6" borderId="11" xfId="0" applyFont="1" applyFill="1" applyBorder="1" applyAlignment="1" applyProtection="1">
      <alignment horizontal="center"/>
      <protection/>
    </xf>
    <xf numFmtId="0" fontId="6" fillId="6" borderId="11" xfId="0" applyFont="1" applyFill="1" applyBorder="1" applyAlignment="1" applyProtection="1">
      <alignment horizontal="fill"/>
      <protection/>
    </xf>
    <xf numFmtId="0" fontId="6" fillId="6" borderId="12" xfId="0" applyFont="1" applyFill="1" applyBorder="1" applyAlignment="1" applyProtection="1">
      <alignment horizontal="center"/>
      <protection/>
    </xf>
    <xf numFmtId="0" fontId="12" fillId="6" borderId="13" xfId="0" applyFont="1" applyFill="1" applyBorder="1" applyAlignment="1" applyProtection="1">
      <alignment horizontal="center"/>
      <protection/>
    </xf>
    <xf numFmtId="0" fontId="6" fillId="6" borderId="13" xfId="0" applyFont="1" applyFill="1" applyBorder="1" applyAlignment="1" applyProtection="1">
      <alignment horizontal="center"/>
      <protection/>
    </xf>
    <xf numFmtId="7" fontId="12" fillId="6" borderId="14" xfId="0" applyNumberFormat="1" applyFont="1" applyFill="1" applyBorder="1" applyAlignment="1" applyProtection="1">
      <alignment horizontal="center"/>
      <protection/>
    </xf>
    <xf numFmtId="7" fontId="8" fillId="0" borderId="0" xfId="0" applyNumberFormat="1" applyFont="1" applyAlignment="1">
      <alignment horizontal="center"/>
    </xf>
    <xf numFmtId="37" fontId="14" fillId="6" borderId="12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2" fillId="6" borderId="14" xfId="0" applyFont="1" applyFill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176" fontId="6" fillId="11" borderId="10" xfId="53" applyNumberFormat="1" applyFont="1" applyFill="1" applyBorder="1" applyAlignment="1" applyProtection="1">
      <alignment horizontal="center"/>
      <protection/>
    </xf>
    <xf numFmtId="176" fontId="6" fillId="11" borderId="13" xfId="53" applyNumberFormat="1" applyFont="1" applyFill="1" applyBorder="1" applyAlignment="1" applyProtection="1">
      <alignment horizontal="center"/>
      <protection/>
    </xf>
    <xf numFmtId="176" fontId="6" fillId="11" borderId="15" xfId="53" applyNumberFormat="1" applyFont="1" applyFill="1" applyBorder="1" applyAlignment="1" applyProtection="1">
      <alignment horizontal="center"/>
      <protection/>
    </xf>
    <xf numFmtId="176" fontId="6" fillId="6" borderId="12" xfId="53" applyNumberFormat="1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6" fillId="6" borderId="0" xfId="0" applyFont="1" applyFill="1" applyBorder="1" applyAlignment="1" applyProtection="1">
      <alignment horizontal="fill"/>
      <protection/>
    </xf>
    <xf numFmtId="39" fontId="6" fillId="11" borderId="10" xfId="0" applyNumberFormat="1" applyFont="1" applyFill="1" applyBorder="1" applyAlignment="1" applyProtection="1">
      <alignment horizontal="center"/>
      <protection locked="0"/>
    </xf>
    <xf numFmtId="39" fontId="13" fillId="11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39" fontId="25" fillId="0" borderId="0" xfId="0" applyNumberFormat="1" applyFont="1" applyAlignment="1" applyProtection="1">
      <alignment/>
      <protection/>
    </xf>
    <xf numFmtId="179" fontId="25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fill"/>
      <protection/>
    </xf>
    <xf numFmtId="43" fontId="26" fillId="0" borderId="0" xfId="53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10" fontId="7" fillId="0" borderId="0" xfId="51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left"/>
    </xf>
    <xf numFmtId="39" fontId="4" fillId="0" borderId="0" xfId="0" applyNumberFormat="1" applyFont="1" applyAlignment="1" applyProtection="1">
      <alignment/>
      <protection/>
    </xf>
    <xf numFmtId="10" fontId="4" fillId="0" borderId="0" xfId="51" applyNumberFormat="1" applyFont="1" applyAlignment="1" applyProtection="1">
      <alignment/>
      <protection/>
    </xf>
    <xf numFmtId="10" fontId="2" fillId="0" borderId="0" xfId="51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39" fontId="2" fillId="0" borderId="0" xfId="0" applyNumberFormat="1" applyFont="1" applyAlignment="1">
      <alignment/>
    </xf>
    <xf numFmtId="0" fontId="32" fillId="0" borderId="1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14" xfId="0" applyFont="1" applyBorder="1" applyAlignment="1">
      <alignment horizontal="centerContinuous" vertical="center"/>
    </xf>
    <xf numFmtId="0" fontId="35" fillId="0" borderId="0" xfId="0" applyFont="1" applyAlignment="1">
      <alignment/>
    </xf>
    <xf numFmtId="0" fontId="34" fillId="0" borderId="1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20" xfId="0" applyFont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13" xfId="0" applyFont="1" applyBorder="1" applyAlignment="1">
      <alignment horizontal="centerContinuous" vertical="center"/>
    </xf>
    <xf numFmtId="0" fontId="34" fillId="0" borderId="17" xfId="0" applyFont="1" applyBorder="1" applyAlignment="1">
      <alignment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0" xfId="0" applyFont="1" applyBorder="1" applyAlignment="1">
      <alignment/>
    </xf>
    <xf numFmtId="10" fontId="34" fillId="0" borderId="10" xfId="51" applyNumberFormat="1" applyFont="1" applyFill="1" applyBorder="1" applyAlignment="1">
      <alignment horizontal="centerContinuous"/>
    </xf>
    <xf numFmtId="0" fontId="34" fillId="0" borderId="18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10" fontId="34" fillId="0" borderId="10" xfId="51" applyNumberFormat="1" applyFont="1" applyBorder="1" applyAlignment="1">
      <alignment horizontal="centerContinuous"/>
    </xf>
    <xf numFmtId="0" fontId="34" fillId="0" borderId="16" xfId="0" applyFont="1" applyBorder="1" applyAlignment="1">
      <alignment vertical="center"/>
    </xf>
    <xf numFmtId="10" fontId="34" fillId="0" borderId="12" xfId="51" applyNumberFormat="1" applyFont="1" applyBorder="1" applyAlignment="1">
      <alignment horizontal="centerContinuous" vertical="center"/>
    </xf>
    <xf numFmtId="0" fontId="34" fillId="0" borderId="17" xfId="0" applyFont="1" applyBorder="1" applyAlignment="1" quotePrefix="1">
      <alignment/>
    </xf>
    <xf numFmtId="0" fontId="34" fillId="0" borderId="17" xfId="0" applyFont="1" applyBorder="1" applyAlignment="1">
      <alignment horizontal="centerContinuous"/>
    </xf>
    <xf numFmtId="0" fontId="34" fillId="0" borderId="14" xfId="0" applyFont="1" applyBorder="1" applyAlignment="1">
      <alignment horizontal="centerContinuous"/>
    </xf>
    <xf numFmtId="0" fontId="34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 quotePrefix="1">
      <alignment horizontal="center"/>
    </xf>
    <xf numFmtId="0" fontId="34" fillId="0" borderId="18" xfId="0" applyFont="1" applyFill="1" applyBorder="1" applyAlignment="1">
      <alignment horizontal="left"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22" xfId="0" applyFont="1" applyBorder="1" applyAlignment="1" quotePrefix="1">
      <alignment/>
    </xf>
    <xf numFmtId="0" fontId="34" fillId="0" borderId="22" xfId="0" applyFont="1" applyBorder="1" applyAlignment="1">
      <alignment horizontal="centerContinuous"/>
    </xf>
    <xf numFmtId="0" fontId="33" fillId="0" borderId="17" xfId="0" applyFont="1" applyBorder="1" applyAlignment="1" quotePrefix="1">
      <alignment horizontal="left" vertical="center"/>
    </xf>
    <xf numFmtId="0" fontId="34" fillId="0" borderId="18" xfId="0" applyFont="1" applyBorder="1" applyAlignment="1">
      <alignment horizontal="left"/>
    </xf>
    <xf numFmtId="0" fontId="34" fillId="0" borderId="18" xfId="0" applyFont="1" applyBorder="1" applyAlignment="1" quotePrefix="1">
      <alignment horizontal="left"/>
    </xf>
    <xf numFmtId="9" fontId="35" fillId="0" borderId="0" xfId="0" applyNumberFormat="1" applyFont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13" xfId="0" applyFont="1" applyFill="1" applyBorder="1" applyAlignment="1">
      <alignment horizontal="center"/>
    </xf>
    <xf numFmtId="10" fontId="34" fillId="0" borderId="10" xfId="51" applyNumberFormat="1" applyFont="1" applyFill="1" applyBorder="1" applyAlignment="1">
      <alignment horizontal="centerContinuous" vertical="center"/>
    </xf>
    <xf numFmtId="0" fontId="34" fillId="0" borderId="22" xfId="0" applyFont="1" applyBorder="1" applyAlignment="1">
      <alignment/>
    </xf>
    <xf numFmtId="39" fontId="34" fillId="0" borderId="15" xfId="0" applyNumberFormat="1" applyFont="1" applyFill="1" applyBorder="1" applyAlignment="1">
      <alignment horizontal="centerContinuous"/>
    </xf>
    <xf numFmtId="0" fontId="2" fillId="0" borderId="0" xfId="0" applyFont="1" applyAlignment="1" applyProtection="1">
      <alignment/>
      <protection locked="0"/>
    </xf>
    <xf numFmtId="7" fontId="14" fillId="18" borderId="23" xfId="0" applyNumberFormat="1" applyFont="1" applyFill="1" applyBorder="1" applyAlignment="1" applyProtection="1">
      <alignment horizontal="center"/>
      <protection/>
    </xf>
    <xf numFmtId="16" fontId="30" fillId="11" borderId="0" xfId="0" applyNumberFormat="1" applyFont="1" applyFill="1" applyBorder="1" applyAlignment="1" applyProtection="1" quotePrefix="1">
      <alignment/>
      <protection/>
    </xf>
    <xf numFmtId="37" fontId="13" fillId="11" borderId="24" xfId="0" applyNumberFormat="1" applyFont="1" applyFill="1" applyBorder="1" applyAlignment="1" applyProtection="1">
      <alignment horizontal="center"/>
      <protection locked="0"/>
    </xf>
    <xf numFmtId="0" fontId="14" fillId="18" borderId="16" xfId="0" applyFont="1" applyFill="1" applyBorder="1" applyAlignment="1" applyProtection="1">
      <alignment horizontal="center"/>
      <protection/>
    </xf>
    <xf numFmtId="7" fontId="6" fillId="11" borderId="11" xfId="0" applyNumberFormat="1" applyFont="1" applyFill="1" applyBorder="1" applyAlignment="1" applyProtection="1">
      <alignment horizontal="center"/>
      <protection/>
    </xf>
    <xf numFmtId="175" fontId="6" fillId="11" borderId="13" xfId="0" applyNumberFormat="1" applyFont="1" applyFill="1" applyBorder="1" applyAlignment="1" applyProtection="1">
      <alignment horizontal="center"/>
      <protection/>
    </xf>
    <xf numFmtId="175" fontId="6" fillId="11" borderId="10" xfId="0" applyNumberFormat="1" applyFont="1" applyFill="1" applyBorder="1" applyAlignment="1" applyProtection="1">
      <alignment horizontal="center"/>
      <protection/>
    </xf>
    <xf numFmtId="37" fontId="6" fillId="11" borderId="13" xfId="0" applyNumberFormat="1" applyFont="1" applyFill="1" applyBorder="1" applyAlignment="1" applyProtection="1">
      <alignment horizontal="center"/>
      <protection/>
    </xf>
    <xf numFmtId="7" fontId="6" fillId="11" borderId="25" xfId="0" applyNumberFormat="1" applyFont="1" applyFill="1" applyBorder="1" applyAlignment="1" applyProtection="1">
      <alignment horizontal="center"/>
      <protection/>
    </xf>
    <xf numFmtId="175" fontId="6" fillId="11" borderId="15" xfId="0" applyNumberFormat="1" applyFont="1" applyFill="1" applyBorder="1" applyAlignment="1" applyProtection="1">
      <alignment horizontal="center"/>
      <protection/>
    </xf>
    <xf numFmtId="37" fontId="6" fillId="11" borderId="15" xfId="0" applyNumberFormat="1" applyFont="1" applyFill="1" applyBorder="1" applyAlignment="1" applyProtection="1">
      <alignment horizontal="center"/>
      <protection/>
    </xf>
    <xf numFmtId="7" fontId="6" fillId="11" borderId="15" xfId="0" applyNumberFormat="1" applyFont="1" applyFill="1" applyBorder="1" applyAlignment="1" applyProtection="1">
      <alignment horizontal="center"/>
      <protection/>
    </xf>
    <xf numFmtId="39" fontId="13" fillId="11" borderId="10" xfId="0" applyNumberFormat="1" applyFont="1" applyFill="1" applyBorder="1" applyAlignment="1" applyProtection="1">
      <alignment horizontal="center"/>
      <protection/>
    </xf>
    <xf numFmtId="0" fontId="2" fillId="12" borderId="0" xfId="0" applyFont="1" applyFill="1" applyAlignment="1">
      <alignment/>
    </xf>
    <xf numFmtId="0" fontId="18" fillId="12" borderId="26" xfId="0" applyFont="1" applyFill="1" applyBorder="1" applyAlignment="1">
      <alignment horizontal="centerContinuous"/>
    </xf>
    <xf numFmtId="0" fontId="5" fillId="12" borderId="27" xfId="0" applyFont="1" applyFill="1" applyBorder="1" applyAlignment="1">
      <alignment horizontal="centerContinuous"/>
    </xf>
    <xf numFmtId="0" fontId="19" fillId="12" borderId="27" xfId="0" applyFont="1" applyFill="1" applyBorder="1" applyAlignment="1">
      <alignment horizontal="centerContinuous"/>
    </xf>
    <xf numFmtId="0" fontId="5" fillId="12" borderId="27" xfId="0" applyFont="1" applyFill="1" applyBorder="1" applyAlignment="1" applyProtection="1">
      <alignment horizontal="centerContinuous"/>
      <protection/>
    </xf>
    <xf numFmtId="0" fontId="20" fillId="12" borderId="28" xfId="0" applyFont="1" applyFill="1" applyBorder="1" applyAlignment="1">
      <alignment horizontal="centerContinuous"/>
    </xf>
    <xf numFmtId="0" fontId="18" fillId="12" borderId="29" xfId="0" applyFont="1" applyFill="1" applyBorder="1" applyAlignment="1">
      <alignment horizontal="centerContinuous"/>
    </xf>
    <xf numFmtId="0" fontId="5" fillId="12" borderId="0" xfId="0" applyFont="1" applyFill="1" applyBorder="1" applyAlignment="1">
      <alignment horizontal="centerContinuous"/>
    </xf>
    <xf numFmtId="0" fontId="5" fillId="12" borderId="0" xfId="0" applyFont="1" applyFill="1" applyBorder="1" applyAlignment="1" applyProtection="1">
      <alignment horizontal="centerContinuous"/>
      <protection/>
    </xf>
    <xf numFmtId="0" fontId="2" fillId="12" borderId="30" xfId="0" applyFont="1" applyFill="1" applyBorder="1" applyAlignment="1">
      <alignment/>
    </xf>
    <xf numFmtId="0" fontId="18" fillId="12" borderId="29" xfId="0" applyFont="1" applyFill="1" applyBorder="1" applyAlignment="1" applyProtection="1">
      <alignment horizontal="centerContinuous"/>
      <protection/>
    </xf>
    <xf numFmtId="0" fontId="6" fillId="12" borderId="0" xfId="0" applyFont="1" applyFill="1" applyBorder="1" applyAlignment="1">
      <alignment horizontal="centerContinuous"/>
    </xf>
    <xf numFmtId="0" fontId="21" fillId="12" borderId="0" xfId="0" applyFont="1" applyFill="1" applyBorder="1" applyAlignment="1">
      <alignment horizontal="centerContinuous"/>
    </xf>
    <xf numFmtId="0" fontId="22" fillId="12" borderId="30" xfId="0" applyFont="1" applyFill="1" applyBorder="1" applyAlignment="1">
      <alignment horizontal="centerContinuous"/>
    </xf>
    <xf numFmtId="0" fontId="18" fillId="12" borderId="31" xfId="0" applyFont="1" applyFill="1" applyBorder="1" applyAlignment="1" applyProtection="1">
      <alignment horizontal="centerContinuous"/>
      <protection/>
    </xf>
    <xf numFmtId="0" fontId="23" fillId="12" borderId="22" xfId="0" applyFont="1" applyFill="1" applyBorder="1" applyAlignment="1">
      <alignment horizontal="centerContinuous"/>
    </xf>
    <xf numFmtId="0" fontId="22" fillId="12" borderId="32" xfId="0" applyFont="1" applyFill="1" applyBorder="1" applyAlignment="1">
      <alignment horizontal="centerContinuous"/>
    </xf>
    <xf numFmtId="0" fontId="2" fillId="12" borderId="29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0" fillId="12" borderId="30" xfId="0" applyFont="1" applyFill="1" applyBorder="1" applyAlignment="1">
      <alignment/>
    </xf>
    <xf numFmtId="0" fontId="13" fillId="12" borderId="33" xfId="0" applyFont="1" applyFill="1" applyBorder="1" applyAlignment="1" applyProtection="1">
      <alignment horizontal="left"/>
      <protection/>
    </xf>
    <xf numFmtId="0" fontId="13" fillId="12" borderId="20" xfId="0" applyFont="1" applyFill="1" applyBorder="1" applyAlignment="1">
      <alignment/>
    </xf>
    <xf numFmtId="0" fontId="6" fillId="12" borderId="20" xfId="0" applyFont="1" applyFill="1" applyBorder="1" applyAlignment="1">
      <alignment/>
    </xf>
    <xf numFmtId="0" fontId="0" fillId="12" borderId="28" xfId="0" applyFont="1" applyFill="1" applyBorder="1" applyAlignment="1">
      <alignment/>
    </xf>
    <xf numFmtId="0" fontId="13" fillId="12" borderId="34" xfId="0" applyFont="1" applyFill="1" applyBorder="1" applyAlignment="1">
      <alignment horizontal="centerContinuous"/>
    </xf>
    <xf numFmtId="0" fontId="13" fillId="12" borderId="29" xfId="0" applyFont="1" applyFill="1" applyBorder="1" applyAlignment="1" applyProtection="1">
      <alignment horizontal="left"/>
      <protection/>
    </xf>
    <xf numFmtId="0" fontId="13" fillId="12" borderId="0" xfId="0" applyFont="1" applyFill="1" applyBorder="1" applyAlignment="1">
      <alignment/>
    </xf>
    <xf numFmtId="0" fontId="17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6" fillId="12" borderId="0" xfId="0" applyFont="1" applyFill="1" applyBorder="1" applyAlignment="1">
      <alignment/>
    </xf>
    <xf numFmtId="0" fontId="13" fillId="12" borderId="20" xfId="0" applyFont="1" applyFill="1" applyBorder="1" applyAlignment="1" applyProtection="1">
      <alignment horizontal="left"/>
      <protection/>
    </xf>
    <xf numFmtId="0" fontId="13" fillId="12" borderId="35" xfId="0" applyFont="1" applyFill="1" applyBorder="1" applyAlignment="1">
      <alignment/>
    </xf>
    <xf numFmtId="0" fontId="13" fillId="12" borderId="0" xfId="0" applyFont="1" applyFill="1" applyBorder="1" applyAlignment="1" applyProtection="1">
      <alignment horizontal="left"/>
      <protection/>
    </xf>
    <xf numFmtId="0" fontId="13" fillId="12" borderId="30" xfId="0" applyFont="1" applyFill="1" applyBorder="1" applyAlignment="1">
      <alignment/>
    </xf>
    <xf numFmtId="0" fontId="6" fillId="12" borderId="29" xfId="0" applyFont="1" applyFill="1" applyBorder="1" applyAlignment="1" applyProtection="1">
      <alignment horizontal="left"/>
      <protection/>
    </xf>
    <xf numFmtId="37" fontId="6" fillId="12" borderId="0" xfId="0" applyNumberFormat="1" applyFont="1" applyFill="1" applyBorder="1" applyAlignment="1" applyProtection="1">
      <alignment/>
      <protection/>
    </xf>
    <xf numFmtId="9" fontId="13" fillId="12" borderId="0" xfId="51" applyFont="1" applyFill="1" applyBorder="1" applyAlignment="1">
      <alignment horizontal="left"/>
    </xf>
    <xf numFmtId="0" fontId="6" fillId="12" borderId="31" xfId="0" applyFont="1" applyFill="1" applyBorder="1" applyAlignment="1" applyProtection="1">
      <alignment horizontal="left"/>
      <protection/>
    </xf>
    <xf numFmtId="20" fontId="6" fillId="12" borderId="22" xfId="0" applyNumberFormat="1" applyFont="1" applyFill="1" applyBorder="1" applyAlignment="1" applyProtection="1">
      <alignment/>
      <protection/>
    </xf>
    <xf numFmtId="0" fontId="6" fillId="12" borderId="22" xfId="0" applyFont="1" applyFill="1" applyBorder="1" applyAlignment="1" applyProtection="1">
      <alignment horizontal="center"/>
      <protection/>
    </xf>
    <xf numFmtId="0" fontId="6" fillId="12" borderId="22" xfId="0" applyFont="1" applyFill="1" applyBorder="1" applyAlignment="1">
      <alignment horizontal="center"/>
    </xf>
    <xf numFmtId="39" fontId="6" fillId="12" borderId="22" xfId="0" applyNumberFormat="1" applyFont="1" applyFill="1" applyBorder="1" applyAlignment="1" applyProtection="1">
      <alignment/>
      <protection/>
    </xf>
    <xf numFmtId="0" fontId="6" fillId="12" borderId="22" xfId="0" applyFont="1" applyFill="1" applyBorder="1" applyAlignment="1">
      <alignment/>
    </xf>
    <xf numFmtId="39" fontId="6" fillId="12" borderId="0" xfId="0" applyNumberFormat="1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center"/>
      <protection/>
    </xf>
    <xf numFmtId="0" fontId="6" fillId="12" borderId="0" xfId="0" applyFont="1" applyFill="1" applyBorder="1" applyAlignment="1">
      <alignment horizontal="center"/>
    </xf>
    <xf numFmtId="37" fontId="13" fillId="12" borderId="0" xfId="0" applyNumberFormat="1" applyFont="1" applyFill="1" applyBorder="1" applyAlignment="1" applyProtection="1">
      <alignment horizontal="center"/>
      <protection/>
    </xf>
    <xf numFmtId="0" fontId="6" fillId="12" borderId="36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0" fontId="6" fillId="12" borderId="25" xfId="0" applyFont="1" applyFill="1" applyBorder="1" applyAlignment="1">
      <alignment/>
    </xf>
    <xf numFmtId="0" fontId="6" fillId="12" borderId="13" xfId="0" applyFont="1" applyFill="1" applyBorder="1" applyAlignment="1">
      <alignment horizontal="center"/>
    </xf>
    <xf numFmtId="0" fontId="6" fillId="12" borderId="19" xfId="0" applyFont="1" applyFill="1" applyBorder="1" applyAlignment="1">
      <alignment/>
    </xf>
    <xf numFmtId="20" fontId="6" fillId="12" borderId="22" xfId="0" applyNumberFormat="1" applyFont="1" applyFill="1" applyBorder="1" applyAlignment="1" applyProtection="1">
      <alignment horizontal="center"/>
      <protection/>
    </xf>
    <xf numFmtId="0" fontId="6" fillId="12" borderId="24" xfId="0" applyFont="1" applyFill="1" applyBorder="1" applyAlignment="1" applyProtection="1">
      <alignment horizontal="center"/>
      <protection/>
    </xf>
    <xf numFmtId="0" fontId="6" fillId="12" borderId="10" xfId="0" applyFont="1" applyFill="1" applyBorder="1" applyAlignment="1" applyProtection="1">
      <alignment horizontal="center"/>
      <protection/>
    </xf>
    <xf numFmtId="0" fontId="6" fillId="12" borderId="18" xfId="0" applyFont="1" applyFill="1" applyBorder="1" applyAlignment="1" applyProtection="1">
      <alignment horizontal="center"/>
      <protection/>
    </xf>
    <xf numFmtId="0" fontId="6" fillId="12" borderId="36" xfId="0" applyFont="1" applyFill="1" applyBorder="1" applyAlignment="1" applyProtection="1">
      <alignment horizontal="fill"/>
      <protection/>
    </xf>
    <xf numFmtId="0" fontId="6" fillId="12" borderId="13" xfId="0" applyFont="1" applyFill="1" applyBorder="1" applyAlignment="1" applyProtection="1">
      <alignment horizontal="fill"/>
      <protection/>
    </xf>
    <xf numFmtId="0" fontId="6" fillId="12" borderId="19" xfId="0" applyFont="1" applyFill="1" applyBorder="1" applyAlignment="1" applyProtection="1">
      <alignment horizontal="fill"/>
      <protection/>
    </xf>
    <xf numFmtId="0" fontId="13" fillId="12" borderId="30" xfId="0" applyFont="1" applyFill="1" applyBorder="1" applyAlignment="1" applyProtection="1">
      <alignment horizontal="fill"/>
      <protection/>
    </xf>
    <xf numFmtId="0" fontId="6" fillId="12" borderId="3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0" fontId="6" fillId="12" borderId="23" xfId="0" applyFont="1" applyFill="1" applyBorder="1" applyAlignment="1">
      <alignment/>
    </xf>
    <xf numFmtId="0" fontId="6" fillId="12" borderId="15" xfId="0" applyFont="1" applyFill="1" applyBorder="1" applyAlignment="1">
      <alignment horizontal="center"/>
    </xf>
    <xf numFmtId="0" fontId="6" fillId="12" borderId="21" xfId="0" applyFont="1" applyFill="1" applyBorder="1" applyAlignment="1">
      <alignment/>
    </xf>
    <xf numFmtId="0" fontId="0" fillId="12" borderId="34" xfId="0" applyFont="1" applyFill="1" applyBorder="1" applyAlignment="1">
      <alignment/>
    </xf>
    <xf numFmtId="0" fontId="13" fillId="12" borderId="30" xfId="0" applyFont="1" applyFill="1" applyBorder="1" applyAlignment="1" applyProtection="1">
      <alignment horizontal="center"/>
      <protection/>
    </xf>
    <xf numFmtId="0" fontId="6" fillId="12" borderId="10" xfId="0" applyFont="1" applyFill="1" applyBorder="1" applyAlignment="1">
      <alignment/>
    </xf>
    <xf numFmtId="0" fontId="6" fillId="12" borderId="37" xfId="0" applyFont="1" applyFill="1" applyBorder="1" applyAlignment="1" applyProtection="1">
      <alignment horizontal="fill"/>
      <protection/>
    </xf>
    <xf numFmtId="0" fontId="6" fillId="12" borderId="15" xfId="0" applyFont="1" applyFill="1" applyBorder="1" applyAlignment="1" applyProtection="1">
      <alignment horizontal="fill"/>
      <protection/>
    </xf>
    <xf numFmtId="0" fontId="6" fillId="12" borderId="21" xfId="0" applyFont="1" applyFill="1" applyBorder="1" applyAlignment="1" applyProtection="1">
      <alignment horizontal="fill"/>
      <protection/>
    </xf>
    <xf numFmtId="0" fontId="6" fillId="12" borderId="24" xfId="0" applyFont="1" applyFill="1" applyBorder="1" applyAlignment="1">
      <alignment/>
    </xf>
    <xf numFmtId="0" fontId="6" fillId="12" borderId="10" xfId="0" applyFont="1" applyFill="1" applyBorder="1" applyAlignment="1" applyProtection="1">
      <alignment horizontal="left"/>
      <protection/>
    </xf>
    <xf numFmtId="0" fontId="6" fillId="12" borderId="0" xfId="0" applyFont="1" applyFill="1" applyBorder="1" applyAlignment="1" applyProtection="1">
      <alignment horizontal="left"/>
      <protection/>
    </xf>
    <xf numFmtId="0" fontId="21" fillId="12" borderId="0" xfId="0" applyFont="1" applyFill="1" applyBorder="1" applyAlignment="1">
      <alignment/>
    </xf>
    <xf numFmtId="0" fontId="6" fillId="12" borderId="18" xfId="0" applyFont="1" applyFill="1" applyBorder="1" applyAlignment="1">
      <alignment/>
    </xf>
    <xf numFmtId="39" fontId="6" fillId="12" borderId="10" xfId="0" applyNumberFormat="1" applyFont="1" applyFill="1" applyBorder="1" applyAlignment="1" applyProtection="1">
      <alignment/>
      <protection/>
    </xf>
    <xf numFmtId="37" fontId="6" fillId="12" borderId="10" xfId="0" applyNumberFormat="1" applyFont="1" applyFill="1" applyBorder="1" applyAlignment="1" applyProtection="1">
      <alignment horizontal="center"/>
      <protection/>
    </xf>
    <xf numFmtId="178" fontId="6" fillId="12" borderId="10" xfId="0" applyNumberFormat="1" applyFont="1" applyFill="1" applyBorder="1" applyAlignment="1" applyProtection="1">
      <alignment horizontal="center"/>
      <protection/>
    </xf>
    <xf numFmtId="39" fontId="6" fillId="12" borderId="10" xfId="0" applyNumberFormat="1" applyFont="1" applyFill="1" applyBorder="1" applyAlignment="1" applyProtection="1">
      <alignment horizontal="center"/>
      <protection/>
    </xf>
    <xf numFmtId="179" fontId="6" fillId="12" borderId="18" xfId="0" applyNumberFormat="1" applyFont="1" applyFill="1" applyBorder="1" applyAlignment="1" applyProtection="1">
      <alignment horizontal="center"/>
      <protection/>
    </xf>
    <xf numFmtId="10" fontId="0" fillId="12" borderId="30" xfId="51" applyNumberFormat="1" applyFont="1" applyFill="1" applyBorder="1" applyAlignment="1">
      <alignment horizontal="center"/>
    </xf>
    <xf numFmtId="37" fontId="6" fillId="12" borderId="10" xfId="0" applyNumberFormat="1" applyFont="1" applyFill="1" applyBorder="1" applyAlignment="1" applyProtection="1">
      <alignment horizontal="left"/>
      <protection/>
    </xf>
    <xf numFmtId="179" fontId="6" fillId="12" borderId="10" xfId="0" applyNumberFormat="1" applyFont="1" applyFill="1" applyBorder="1" applyAlignment="1" applyProtection="1">
      <alignment horizontal="center"/>
      <protection/>
    </xf>
    <xf numFmtId="37" fontId="13" fillId="12" borderId="24" xfId="0" applyNumberFormat="1" applyFont="1" applyFill="1" applyBorder="1" applyAlignment="1" applyProtection="1">
      <alignment horizontal="center"/>
      <protection/>
    </xf>
    <xf numFmtId="0" fontId="13" fillId="12" borderId="10" xfId="0" applyFont="1" applyFill="1" applyBorder="1" applyAlignment="1" applyProtection="1">
      <alignment horizontal="center"/>
      <protection/>
    </xf>
    <xf numFmtId="39" fontId="13" fillId="12" borderId="10" xfId="0" applyNumberFormat="1" applyFont="1" applyFill="1" applyBorder="1" applyAlignment="1" applyProtection="1">
      <alignment horizontal="center"/>
      <protection locked="0"/>
    </xf>
    <xf numFmtId="0" fontId="13" fillId="12" borderId="10" xfId="0" applyFont="1" applyFill="1" applyBorder="1" applyAlignment="1" applyProtection="1">
      <alignment horizontal="left"/>
      <protection/>
    </xf>
    <xf numFmtId="178" fontId="13" fillId="12" borderId="10" xfId="0" applyNumberFormat="1" applyFont="1" applyFill="1" applyBorder="1" applyAlignment="1" applyProtection="1">
      <alignment horizontal="center"/>
      <protection/>
    </xf>
    <xf numFmtId="39" fontId="13" fillId="12" borderId="10" xfId="0" applyNumberFormat="1" applyFont="1" applyFill="1" applyBorder="1" applyAlignment="1" applyProtection="1">
      <alignment horizontal="center"/>
      <protection/>
    </xf>
    <xf numFmtId="39" fontId="13" fillId="12" borderId="18" xfId="0" applyNumberFormat="1" applyFont="1" applyFill="1" applyBorder="1" applyAlignment="1" applyProtection="1">
      <alignment horizontal="center"/>
      <protection/>
    </xf>
    <xf numFmtId="10" fontId="24" fillId="12" borderId="30" xfId="51" applyNumberFormat="1" applyFont="1" applyFill="1" applyBorder="1" applyAlignment="1" applyProtection="1">
      <alignment horizontal="center"/>
      <protection/>
    </xf>
    <xf numFmtId="39" fontId="6" fillId="12" borderId="24" xfId="0" applyNumberFormat="1" applyFont="1" applyFill="1" applyBorder="1" applyAlignment="1" applyProtection="1">
      <alignment horizontal="center"/>
      <protection/>
    </xf>
    <xf numFmtId="37" fontId="13" fillId="12" borderId="10" xfId="0" applyNumberFormat="1" applyFont="1" applyFill="1" applyBorder="1" applyAlignment="1" applyProtection="1">
      <alignment horizontal="center"/>
      <protection/>
    </xf>
    <xf numFmtId="37" fontId="6" fillId="12" borderId="24" xfId="0" applyNumberFormat="1" applyFont="1" applyFill="1" applyBorder="1" applyAlignment="1" applyProtection="1">
      <alignment horizontal="center"/>
      <protection/>
    </xf>
    <xf numFmtId="39" fontId="6" fillId="12" borderId="10" xfId="0" applyNumberFormat="1" applyFont="1" applyFill="1" applyBorder="1" applyAlignment="1" applyProtection="1">
      <alignment horizontal="center"/>
      <protection locked="0"/>
    </xf>
    <xf numFmtId="39" fontId="6" fillId="12" borderId="18" xfId="0" applyNumberFormat="1" applyFont="1" applyFill="1" applyBorder="1" applyAlignment="1" applyProtection="1">
      <alignment horizontal="center"/>
      <protection/>
    </xf>
    <xf numFmtId="0" fontId="6" fillId="12" borderId="10" xfId="0" applyFont="1" applyFill="1" applyBorder="1" applyAlignment="1">
      <alignment horizontal="center"/>
    </xf>
    <xf numFmtId="0" fontId="6" fillId="12" borderId="15" xfId="0" applyFont="1" applyFill="1" applyBorder="1" applyAlignment="1" applyProtection="1">
      <alignment horizontal="left"/>
      <protection/>
    </xf>
    <xf numFmtId="0" fontId="6" fillId="12" borderId="16" xfId="0" applyFont="1" applyFill="1" applyBorder="1" applyAlignment="1" applyProtection="1">
      <alignment horizontal="left"/>
      <protection/>
    </xf>
    <xf numFmtId="0" fontId="21" fillId="12" borderId="17" xfId="0" applyFont="1" applyFill="1" applyBorder="1" applyAlignment="1">
      <alignment/>
    </xf>
    <xf numFmtId="0" fontId="6" fillId="12" borderId="17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179" fontId="6" fillId="12" borderId="12" xfId="0" applyNumberFormat="1" applyFont="1" applyFill="1" applyBorder="1" applyAlignment="1" applyProtection="1">
      <alignment horizontal="center"/>
      <protection/>
    </xf>
    <xf numFmtId="10" fontId="0" fillId="12" borderId="38" xfId="51" applyNumberFormat="1" applyFont="1" applyFill="1" applyBorder="1" applyAlignment="1">
      <alignment horizontal="center"/>
    </xf>
    <xf numFmtId="39" fontId="6" fillId="12" borderId="24" xfId="0" applyNumberFormat="1" applyFont="1" applyFill="1" applyBorder="1" applyAlignment="1" applyProtection="1">
      <alignment/>
      <protection/>
    </xf>
    <xf numFmtId="178" fontId="6" fillId="12" borderId="10" xfId="0" applyNumberFormat="1" applyFont="1" applyFill="1" applyBorder="1" applyAlignment="1" applyProtection="1">
      <alignment/>
      <protection/>
    </xf>
    <xf numFmtId="0" fontId="6" fillId="12" borderId="18" xfId="0" applyFont="1" applyFill="1" applyBorder="1" applyAlignment="1">
      <alignment horizontal="center"/>
    </xf>
    <xf numFmtId="39" fontId="13" fillId="12" borderId="30" xfId="0" applyNumberFormat="1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fill"/>
      <protection/>
    </xf>
    <xf numFmtId="0" fontId="6" fillId="12" borderId="18" xfId="0" applyFont="1" applyFill="1" applyBorder="1" applyAlignment="1" applyProtection="1">
      <alignment horizontal="fill"/>
      <protection/>
    </xf>
    <xf numFmtId="180" fontId="6" fillId="12" borderId="10" xfId="0" applyNumberFormat="1" applyFont="1" applyFill="1" applyBorder="1" applyAlignment="1" applyProtection="1">
      <alignment horizontal="center"/>
      <protection/>
    </xf>
    <xf numFmtId="10" fontId="24" fillId="12" borderId="38" xfId="51" applyNumberFormat="1" applyFont="1" applyFill="1" applyBorder="1" applyAlignment="1" applyProtection="1">
      <alignment horizontal="center"/>
      <protection/>
    </xf>
    <xf numFmtId="39" fontId="6" fillId="12" borderId="18" xfId="0" applyNumberFormat="1" applyFont="1" applyFill="1" applyBorder="1" applyAlignment="1" applyProtection="1">
      <alignment/>
      <protection/>
    </xf>
    <xf numFmtId="180" fontId="13" fillId="12" borderId="10" xfId="0" applyNumberFormat="1" applyFont="1" applyFill="1" applyBorder="1" applyAlignment="1" applyProtection="1">
      <alignment horizontal="center"/>
      <protection/>
    </xf>
    <xf numFmtId="181" fontId="13" fillId="12" borderId="10" xfId="0" applyNumberFormat="1" applyFont="1" applyFill="1" applyBorder="1" applyAlignment="1" applyProtection="1">
      <alignment horizontal="center"/>
      <protection/>
    </xf>
    <xf numFmtId="0" fontId="6" fillId="12" borderId="29" xfId="0" applyFont="1" applyFill="1" applyBorder="1" applyAlignment="1">
      <alignment/>
    </xf>
    <xf numFmtId="2" fontId="13" fillId="12" borderId="18" xfId="0" applyNumberFormat="1" applyFont="1" applyFill="1" applyBorder="1" applyAlignment="1" applyProtection="1">
      <alignment horizontal="center"/>
      <protection/>
    </xf>
    <xf numFmtId="0" fontId="13" fillId="12" borderId="11" xfId="0" applyFont="1" applyFill="1" applyBorder="1" applyAlignment="1" applyProtection="1">
      <alignment horizontal="left"/>
      <protection/>
    </xf>
    <xf numFmtId="179" fontId="13" fillId="12" borderId="10" xfId="0" applyNumberFormat="1" applyFont="1" applyFill="1" applyBorder="1" applyAlignment="1" applyProtection="1">
      <alignment horizontal="center"/>
      <protection/>
    </xf>
    <xf numFmtId="39" fontId="13" fillId="12" borderId="10" xfId="0" applyNumberFormat="1" applyFont="1" applyFill="1" applyBorder="1" applyAlignment="1" applyProtection="1">
      <alignment/>
      <protection/>
    </xf>
    <xf numFmtId="178" fontId="13" fillId="12" borderId="10" xfId="0" applyNumberFormat="1" applyFont="1" applyFill="1" applyBorder="1" applyAlignment="1" applyProtection="1">
      <alignment/>
      <protection/>
    </xf>
    <xf numFmtId="181" fontId="13" fillId="12" borderId="10" xfId="0" applyNumberFormat="1" applyFont="1" applyFill="1" applyBorder="1" applyAlignment="1" applyProtection="1">
      <alignment horizontal="right"/>
      <protection/>
    </xf>
    <xf numFmtId="39" fontId="13" fillId="12" borderId="18" xfId="0" applyNumberFormat="1" applyFont="1" applyFill="1" applyBorder="1" applyAlignment="1" applyProtection="1">
      <alignment/>
      <protection/>
    </xf>
    <xf numFmtId="39" fontId="13" fillId="12" borderId="24" xfId="0" applyNumberFormat="1" applyFont="1" applyFill="1" applyBorder="1" applyAlignment="1" applyProtection="1">
      <alignment horizontal="center"/>
      <protection locked="0"/>
    </xf>
    <xf numFmtId="0" fontId="6" fillId="12" borderId="18" xfId="0" applyFont="1" applyFill="1" applyBorder="1" applyAlignment="1" applyProtection="1">
      <alignment horizontal="left"/>
      <protection/>
    </xf>
    <xf numFmtId="39" fontId="6" fillId="12" borderId="10" xfId="0" applyNumberFormat="1" applyFont="1" applyFill="1" applyBorder="1" applyAlignment="1">
      <alignment horizontal="center"/>
    </xf>
    <xf numFmtId="0" fontId="21" fillId="12" borderId="33" xfId="0" applyFont="1" applyFill="1" applyBorder="1" applyAlignment="1">
      <alignment/>
    </xf>
    <xf numFmtId="0" fontId="6" fillId="12" borderId="20" xfId="0" applyFont="1" applyFill="1" applyBorder="1" applyAlignment="1">
      <alignment horizontal="centerContinuous"/>
    </xf>
    <xf numFmtId="0" fontId="21" fillId="12" borderId="20" xfId="0" applyFont="1" applyFill="1" applyBorder="1" applyAlignment="1">
      <alignment horizontal="centerContinuous"/>
    </xf>
    <xf numFmtId="39" fontId="6" fillId="12" borderId="20" xfId="0" applyNumberFormat="1" applyFont="1" applyFill="1" applyBorder="1" applyAlignment="1" applyProtection="1">
      <alignment horizontal="centerContinuous"/>
      <protection/>
    </xf>
    <xf numFmtId="39" fontId="6" fillId="12" borderId="0" xfId="0" applyNumberFormat="1" applyFont="1" applyFill="1" applyBorder="1" applyAlignment="1" applyProtection="1">
      <alignment horizontal="centerContinuous"/>
      <protection/>
    </xf>
    <xf numFmtId="0" fontId="6" fillId="12" borderId="31" xfId="0" applyFont="1" applyFill="1" applyBorder="1" applyAlignment="1" applyProtection="1">
      <alignment horizontal="fill"/>
      <protection/>
    </xf>
    <xf numFmtId="0" fontId="6" fillId="12" borderId="22" xfId="0" applyFont="1" applyFill="1" applyBorder="1" applyAlignment="1" applyProtection="1">
      <alignment horizontal="fill"/>
      <protection/>
    </xf>
    <xf numFmtId="0" fontId="6" fillId="12" borderId="33" xfId="0" applyFont="1" applyFill="1" applyBorder="1" applyAlignment="1">
      <alignment/>
    </xf>
    <xf numFmtId="39" fontId="6" fillId="12" borderId="19" xfId="0" applyNumberFormat="1" applyFont="1" applyFill="1" applyBorder="1" applyAlignment="1" applyProtection="1">
      <alignment/>
      <protection/>
    </xf>
    <xf numFmtId="0" fontId="6" fillId="12" borderId="11" xfId="0" applyFont="1" applyFill="1" applyBorder="1" applyAlignment="1">
      <alignment/>
    </xf>
    <xf numFmtId="0" fontId="6" fillId="12" borderId="12" xfId="0" applyFont="1" applyFill="1" applyBorder="1" applyAlignment="1" applyProtection="1">
      <alignment horizontal="center"/>
      <protection/>
    </xf>
    <xf numFmtId="0" fontId="0" fillId="12" borderId="35" xfId="0" applyFont="1" applyFill="1" applyBorder="1" applyAlignment="1">
      <alignment/>
    </xf>
    <xf numFmtId="0" fontId="6" fillId="12" borderId="17" xfId="0" applyFont="1" applyFill="1" applyBorder="1" applyAlignment="1" applyProtection="1">
      <alignment horizontal="left"/>
      <protection/>
    </xf>
    <xf numFmtId="39" fontId="6" fillId="12" borderId="17" xfId="0" applyNumberFormat="1" applyFont="1" applyFill="1" applyBorder="1" applyAlignment="1" applyProtection="1">
      <alignment horizontal="center"/>
      <protection/>
    </xf>
    <xf numFmtId="0" fontId="21" fillId="12" borderId="11" xfId="0" applyFont="1" applyFill="1" applyBorder="1" applyAlignment="1">
      <alignment/>
    </xf>
    <xf numFmtId="10" fontId="13" fillId="12" borderId="30" xfId="51" applyNumberFormat="1" applyFont="1" applyFill="1" applyBorder="1" applyAlignment="1" applyProtection="1">
      <alignment horizontal="center"/>
      <protection/>
    </xf>
    <xf numFmtId="0" fontId="18" fillId="12" borderId="33" xfId="0" applyFont="1" applyFill="1" applyBorder="1" applyAlignment="1" applyProtection="1">
      <alignment horizontal="centerContinuous"/>
      <protection/>
    </xf>
    <xf numFmtId="0" fontId="18" fillId="12" borderId="20" xfId="0" applyFont="1" applyFill="1" applyBorder="1" applyAlignment="1">
      <alignment horizontal="centerContinuous"/>
    </xf>
    <xf numFmtId="179" fontId="6" fillId="12" borderId="10" xfId="0" applyNumberFormat="1" applyFont="1" applyFill="1" applyBorder="1" applyAlignment="1">
      <alignment horizontal="center"/>
    </xf>
    <xf numFmtId="0" fontId="21" fillId="12" borderId="19" xfId="0" applyFont="1" applyFill="1" applyBorder="1" applyAlignment="1">
      <alignment/>
    </xf>
    <xf numFmtId="0" fontId="21" fillId="12" borderId="20" xfId="0" applyFont="1" applyFill="1" applyBorder="1" applyAlignment="1">
      <alignment/>
    </xf>
    <xf numFmtId="0" fontId="13" fillId="12" borderId="34" xfId="0" applyFont="1" applyFill="1" applyBorder="1" applyAlignment="1" applyProtection="1">
      <alignment horizontal="center"/>
      <protection/>
    </xf>
    <xf numFmtId="0" fontId="6" fillId="12" borderId="19" xfId="0" applyFont="1" applyFill="1" applyBorder="1" applyAlignment="1" applyProtection="1">
      <alignment horizontal="left"/>
      <protection/>
    </xf>
    <xf numFmtId="0" fontId="21" fillId="12" borderId="13" xfId="0" applyFont="1" applyFill="1" applyBorder="1" applyAlignment="1">
      <alignment/>
    </xf>
    <xf numFmtId="39" fontId="6" fillId="12" borderId="19" xfId="0" applyNumberFormat="1" applyFont="1" applyFill="1" applyBorder="1" applyAlignment="1" applyProtection="1">
      <alignment horizontal="center"/>
      <protection/>
    </xf>
    <xf numFmtId="39" fontId="24" fillId="12" borderId="30" xfId="0" applyNumberFormat="1" applyFont="1" applyFill="1" applyBorder="1" applyAlignment="1" applyProtection="1">
      <alignment/>
      <protection/>
    </xf>
    <xf numFmtId="39" fontId="15" fillId="12" borderId="10" xfId="0" applyNumberFormat="1" applyFont="1" applyFill="1" applyBorder="1" applyAlignment="1" applyProtection="1">
      <alignment horizontal="center"/>
      <protection/>
    </xf>
    <xf numFmtId="0" fontId="6" fillId="12" borderId="31" xfId="0" applyFont="1" applyFill="1" applyBorder="1" applyAlignment="1">
      <alignment/>
    </xf>
    <xf numFmtId="39" fontId="6" fillId="12" borderId="15" xfId="0" applyNumberFormat="1" applyFont="1" applyFill="1" applyBorder="1" applyAlignment="1" applyProtection="1">
      <alignment horizontal="center"/>
      <protection/>
    </xf>
    <xf numFmtId="0" fontId="6" fillId="12" borderId="22" xfId="0" applyFont="1" applyFill="1" applyBorder="1" applyAlignment="1" applyProtection="1">
      <alignment horizontal="left"/>
      <protection/>
    </xf>
    <xf numFmtId="0" fontId="6" fillId="12" borderId="16" xfId="0" applyFont="1" applyFill="1" applyBorder="1" applyAlignment="1">
      <alignment/>
    </xf>
    <xf numFmtId="10" fontId="8" fillId="12" borderId="38" xfId="51" applyNumberFormat="1" applyFont="1" applyFill="1" applyBorder="1" applyAlignment="1">
      <alignment horizontal="center"/>
    </xf>
    <xf numFmtId="0" fontId="6" fillId="12" borderId="29" xfId="0" applyFont="1" applyFill="1" applyBorder="1" applyAlignment="1" applyProtection="1">
      <alignment horizontal="fill"/>
      <protection/>
    </xf>
    <xf numFmtId="0" fontId="18" fillId="12" borderId="26" xfId="0" applyFont="1" applyFill="1" applyBorder="1" applyAlignment="1" applyProtection="1">
      <alignment horizontal="centerContinuous"/>
      <protection/>
    </xf>
    <xf numFmtId="0" fontId="6" fillId="12" borderId="27" xfId="0" applyFont="1" applyFill="1" applyBorder="1" applyAlignment="1">
      <alignment horizontal="centerContinuous"/>
    </xf>
    <xf numFmtId="0" fontId="6" fillId="12" borderId="39" xfId="0" applyFont="1" applyFill="1" applyBorder="1" applyAlignment="1" applyProtection="1">
      <alignment horizontal="centerContinuous"/>
      <protection/>
    </xf>
    <xf numFmtId="0" fontId="6" fillId="12" borderId="40" xfId="0" applyFont="1" applyFill="1" applyBorder="1" applyAlignment="1" applyProtection="1">
      <alignment horizontal="centerContinuous"/>
      <protection/>
    </xf>
    <xf numFmtId="0" fontId="6" fillId="12" borderId="27" xfId="0" applyFont="1" applyFill="1" applyBorder="1" applyAlignment="1" applyProtection="1">
      <alignment horizontal="left"/>
      <protection/>
    </xf>
    <xf numFmtId="0" fontId="6" fillId="12" borderId="27" xfId="0" applyFont="1" applyFill="1" applyBorder="1" applyAlignment="1">
      <alignment/>
    </xf>
    <xf numFmtId="39" fontId="6" fillId="12" borderId="27" xfId="0" applyNumberFormat="1" applyFont="1" applyFill="1" applyBorder="1" applyAlignment="1" applyProtection="1">
      <alignment/>
      <protection/>
    </xf>
    <xf numFmtId="10" fontId="8" fillId="12" borderId="41" xfId="51" applyNumberFormat="1" applyFont="1" applyFill="1" applyBorder="1" applyAlignment="1">
      <alignment horizontal="center"/>
    </xf>
    <xf numFmtId="0" fontId="6" fillId="12" borderId="29" xfId="0" applyFont="1" applyFill="1" applyBorder="1" applyAlignment="1" applyProtection="1" quotePrefix="1">
      <alignment horizontal="center"/>
      <protection/>
    </xf>
    <xf numFmtId="0" fontId="3" fillId="12" borderId="0" xfId="0" applyFont="1" applyFill="1" applyBorder="1" applyAlignment="1">
      <alignment/>
    </xf>
    <xf numFmtId="0" fontId="0" fillId="12" borderId="32" xfId="0" applyFont="1" applyFill="1" applyBorder="1" applyAlignment="1">
      <alignment/>
    </xf>
    <xf numFmtId="0" fontId="6" fillId="12" borderId="39" xfId="0" applyFont="1" applyFill="1" applyBorder="1" applyAlignment="1">
      <alignment/>
    </xf>
    <xf numFmtId="0" fontId="6" fillId="12" borderId="42" xfId="0" applyFont="1" applyFill="1" applyBorder="1" applyAlignment="1">
      <alignment/>
    </xf>
    <xf numFmtId="39" fontId="6" fillId="12" borderId="43" xfId="0" applyNumberFormat="1" applyFont="1" applyFill="1" applyBorder="1" applyAlignment="1" applyProtection="1">
      <alignment horizontal="center"/>
      <protection/>
    </xf>
    <xf numFmtId="0" fontId="6" fillId="12" borderId="43" xfId="0" applyFont="1" applyFill="1" applyBorder="1" applyAlignment="1">
      <alignment/>
    </xf>
    <xf numFmtId="0" fontId="6" fillId="12" borderId="43" xfId="0" applyFont="1" applyFill="1" applyBorder="1" applyAlignment="1" applyProtection="1">
      <alignment horizontal="left"/>
      <protection/>
    </xf>
    <xf numFmtId="0" fontId="6" fillId="12" borderId="44" xfId="0" applyFont="1" applyFill="1" applyBorder="1" applyAlignment="1" applyProtection="1">
      <alignment horizontal="left"/>
      <protection/>
    </xf>
    <xf numFmtId="0" fontId="6" fillId="12" borderId="45" xfId="0" applyFont="1" applyFill="1" applyBorder="1" applyAlignment="1">
      <alignment/>
    </xf>
    <xf numFmtId="39" fontId="6" fillId="12" borderId="46" xfId="0" applyNumberFormat="1" applyFont="1" applyFill="1" applyBorder="1" applyAlignment="1" applyProtection="1">
      <alignment horizontal="center"/>
      <protection/>
    </xf>
    <xf numFmtId="10" fontId="13" fillId="12" borderId="47" xfId="51" applyNumberFormat="1" applyFont="1" applyFill="1" applyBorder="1" applyAlignment="1" applyProtection="1">
      <alignment horizontal="center"/>
      <protection/>
    </xf>
    <xf numFmtId="0" fontId="6" fillId="12" borderId="40" xfId="0" applyFont="1" applyFill="1" applyBorder="1" applyAlignment="1">
      <alignment/>
    </xf>
    <xf numFmtId="16" fontId="13" fillId="12" borderId="39" xfId="0" applyNumberFormat="1" applyFont="1" applyFill="1" applyBorder="1" applyAlignment="1" applyProtection="1" quotePrefix="1">
      <alignment horizontal="center"/>
      <protection/>
    </xf>
    <xf numFmtId="0" fontId="13" fillId="12" borderId="40" xfId="0" applyFont="1" applyFill="1" applyBorder="1" applyAlignment="1" applyProtection="1">
      <alignment horizontal="left"/>
      <protection/>
    </xf>
    <xf numFmtId="0" fontId="13" fillId="12" borderId="40" xfId="0" applyFont="1" applyFill="1" applyBorder="1" applyAlignment="1">
      <alignment/>
    </xf>
    <xf numFmtId="43" fontId="13" fillId="12" borderId="40" xfId="53" applyFont="1" applyFill="1" applyBorder="1" applyAlignment="1" applyProtection="1">
      <alignment/>
      <protection/>
    </xf>
    <xf numFmtId="10" fontId="8" fillId="12" borderId="41" xfId="0" applyNumberFormat="1" applyFont="1" applyFill="1" applyBorder="1" applyAlignment="1">
      <alignment/>
    </xf>
    <xf numFmtId="0" fontId="13" fillId="12" borderId="0" xfId="0" applyFont="1" applyFill="1" applyBorder="1" applyAlignment="1">
      <alignment horizontal="center"/>
    </xf>
    <xf numFmtId="0" fontId="20" fillId="12" borderId="48" xfId="0" applyFont="1" applyFill="1" applyBorder="1" applyAlignment="1">
      <alignment/>
    </xf>
    <xf numFmtId="177" fontId="6" fillId="11" borderId="24" xfId="0" applyNumberFormat="1" applyFont="1" applyFill="1" applyBorder="1" applyAlignment="1" applyProtection="1">
      <alignment horizontal="center"/>
      <protection/>
    </xf>
    <xf numFmtId="2" fontId="6" fillId="11" borderId="24" xfId="0" applyNumberFormat="1" applyFont="1" applyFill="1" applyBorder="1" applyAlignment="1" applyProtection="1">
      <alignment horizontal="center"/>
      <protection/>
    </xf>
    <xf numFmtId="37" fontId="13" fillId="11" borderId="10" xfId="0" applyNumberFormat="1" applyFont="1" applyFill="1" applyBorder="1" applyAlignment="1" applyProtection="1">
      <alignment horizontal="center"/>
      <protection/>
    </xf>
    <xf numFmtId="37" fontId="6" fillId="11" borderId="10" xfId="0" applyNumberFormat="1" applyFont="1" applyFill="1" applyBorder="1" applyAlignment="1" applyProtection="1">
      <alignment horizontal="center"/>
      <protection/>
    </xf>
    <xf numFmtId="0" fontId="13" fillId="12" borderId="16" xfId="0" applyFont="1" applyFill="1" applyBorder="1" applyAlignment="1">
      <alignment/>
    </xf>
    <xf numFmtId="0" fontId="13" fillId="12" borderId="17" xfId="0" applyFont="1" applyFill="1" applyBorder="1" applyAlignment="1">
      <alignment/>
    </xf>
    <xf numFmtId="184" fontId="17" fillId="12" borderId="14" xfId="53" applyNumberFormat="1" applyFont="1" applyFill="1" applyBorder="1" applyAlignment="1">
      <alignment horizontal="left"/>
    </xf>
    <xf numFmtId="0" fontId="12" fillId="12" borderId="31" xfId="0" applyFont="1" applyFill="1" applyBorder="1" applyAlignment="1" applyProtection="1">
      <alignment horizontal="left"/>
      <protection/>
    </xf>
    <xf numFmtId="20" fontId="6" fillId="12" borderId="22" xfId="0" applyNumberFormat="1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/>
    </xf>
    <xf numFmtId="179" fontId="6" fillId="12" borderId="13" xfId="0" applyNumberFormat="1" applyFont="1" applyFill="1" applyBorder="1" applyAlignment="1" applyProtection="1">
      <alignment horizontal="center"/>
      <protection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2" borderId="20" xfId="0" applyFont="1" applyFill="1" applyBorder="1" applyAlignment="1" applyProtection="1">
      <alignment horizontal="left"/>
      <protection/>
    </xf>
    <xf numFmtId="179" fontId="6" fillId="12" borderId="25" xfId="0" applyNumberFormat="1" applyFont="1" applyFill="1" applyBorder="1" applyAlignment="1" applyProtection="1">
      <alignment horizontal="center"/>
      <protection/>
    </xf>
    <xf numFmtId="10" fontId="0" fillId="12" borderId="49" xfId="51" applyNumberFormat="1" applyFont="1" applyFill="1" applyBorder="1" applyAlignment="1">
      <alignment horizontal="center"/>
    </xf>
    <xf numFmtId="179" fontId="6" fillId="12" borderId="11" xfId="0" applyNumberFormat="1" applyFont="1" applyFill="1" applyBorder="1" applyAlignment="1" applyProtection="1">
      <alignment/>
      <protection/>
    </xf>
    <xf numFmtId="0" fontId="0" fillId="12" borderId="49" xfId="0" applyFont="1" applyFill="1" applyBorder="1" applyAlignment="1">
      <alignment/>
    </xf>
    <xf numFmtId="0" fontId="6" fillId="12" borderId="11" xfId="0" applyFont="1" applyFill="1" applyBorder="1" applyAlignment="1" applyProtection="1">
      <alignment horizontal="fill"/>
      <protection/>
    </xf>
    <xf numFmtId="39" fontId="6" fillId="12" borderId="11" xfId="0" applyNumberFormat="1" applyFont="1" applyFill="1" applyBorder="1" applyAlignment="1" applyProtection="1">
      <alignment/>
      <protection/>
    </xf>
    <xf numFmtId="39" fontId="6" fillId="12" borderId="23" xfId="0" applyNumberFormat="1" applyFont="1" applyFill="1" applyBorder="1" applyAlignment="1" applyProtection="1">
      <alignment/>
      <protection/>
    </xf>
    <xf numFmtId="39" fontId="31" fillId="12" borderId="24" xfId="0" applyNumberFormat="1" applyFont="1" applyFill="1" applyBorder="1" applyAlignment="1" applyProtection="1">
      <alignment/>
      <protection/>
    </xf>
    <xf numFmtId="0" fontId="31" fillId="12" borderId="10" xfId="0" applyFont="1" applyFill="1" applyBorder="1" applyAlignment="1">
      <alignment/>
    </xf>
    <xf numFmtId="39" fontId="31" fillId="12" borderId="10" xfId="0" applyNumberFormat="1" applyFont="1" applyFill="1" applyBorder="1" applyAlignment="1" applyProtection="1">
      <alignment horizontal="center"/>
      <protection/>
    </xf>
    <xf numFmtId="0" fontId="31" fillId="12" borderId="10" xfId="0" applyFont="1" applyFill="1" applyBorder="1" applyAlignment="1" applyProtection="1">
      <alignment horizontal="left"/>
      <protection/>
    </xf>
    <xf numFmtId="180" fontId="31" fillId="12" borderId="10" xfId="0" applyNumberFormat="1" applyFont="1" applyFill="1" applyBorder="1" applyAlignment="1" applyProtection="1">
      <alignment horizontal="center"/>
      <protection/>
    </xf>
    <xf numFmtId="181" fontId="31" fillId="12" borderId="10" xfId="0" applyNumberFormat="1" applyFont="1" applyFill="1" applyBorder="1" applyAlignment="1" applyProtection="1">
      <alignment horizontal="center"/>
      <protection/>
    </xf>
    <xf numFmtId="39" fontId="31" fillId="12" borderId="18" xfId="0" applyNumberFormat="1" applyFont="1" applyFill="1" applyBorder="1" applyAlignment="1" applyProtection="1">
      <alignment horizontal="center"/>
      <protection/>
    </xf>
    <xf numFmtId="10" fontId="26" fillId="12" borderId="30" xfId="51" applyNumberFormat="1" applyFont="1" applyFill="1" applyBorder="1" applyAlignment="1" applyProtection="1">
      <alignment horizontal="center"/>
      <protection/>
    </xf>
    <xf numFmtId="185" fontId="6" fillId="12" borderId="10" xfId="0" applyNumberFormat="1" applyFont="1" applyFill="1" applyBorder="1" applyAlignment="1" applyProtection="1">
      <alignment horizontal="center"/>
      <protection/>
    </xf>
    <xf numFmtId="0" fontId="2" fillId="12" borderId="18" xfId="0" applyFont="1" applyFill="1" applyBorder="1" applyAlignment="1">
      <alignment/>
    </xf>
    <xf numFmtId="180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10" fontId="0" fillId="12" borderId="30" xfId="0" applyNumberFormat="1" applyFont="1" applyFill="1" applyBorder="1" applyAlignment="1">
      <alignment/>
    </xf>
    <xf numFmtId="0" fontId="6" fillId="12" borderId="23" xfId="0" applyFont="1" applyFill="1" applyBorder="1" applyAlignment="1" applyProtection="1">
      <alignment horizontal="fill"/>
      <protection/>
    </xf>
    <xf numFmtId="16" fontId="6" fillId="12" borderId="26" xfId="0" applyNumberFormat="1" applyFont="1" applyFill="1" applyBorder="1" applyAlignment="1" applyProtection="1" quotePrefix="1">
      <alignment horizontal="center"/>
      <protection/>
    </xf>
    <xf numFmtId="16" fontId="20" fillId="12" borderId="50" xfId="0" applyNumberFormat="1" applyFont="1" applyFill="1" applyBorder="1" applyAlignment="1" applyProtection="1" quotePrefix="1">
      <alignment horizontal="center"/>
      <protection/>
    </xf>
    <xf numFmtId="0" fontId="20" fillId="12" borderId="48" xfId="0" applyFont="1" applyFill="1" applyBorder="1" applyAlignment="1" applyProtection="1">
      <alignment horizontal="left"/>
      <protection/>
    </xf>
    <xf numFmtId="43" fontId="20" fillId="12" borderId="51" xfId="53" applyFont="1" applyFill="1" applyBorder="1" applyAlignment="1" applyProtection="1">
      <alignment/>
      <protection/>
    </xf>
    <xf numFmtId="9" fontId="6" fillId="11" borderId="24" xfId="0" applyNumberFormat="1" applyFont="1" applyFill="1" applyBorder="1" applyAlignment="1" applyProtection="1">
      <alignment horizontal="center"/>
      <protection/>
    </xf>
    <xf numFmtId="0" fontId="29" fillId="12" borderId="50" xfId="0" applyFont="1" applyFill="1" applyBorder="1" applyAlignment="1">
      <alignment/>
    </xf>
    <xf numFmtId="0" fontId="28" fillId="12" borderId="48" xfId="0" applyFont="1" applyFill="1" applyBorder="1" applyAlignment="1">
      <alignment/>
    </xf>
    <xf numFmtId="0" fontId="21" fillId="12" borderId="48" xfId="0" applyFont="1" applyFill="1" applyBorder="1" applyAlignment="1">
      <alignment/>
    </xf>
    <xf numFmtId="0" fontId="21" fillId="12" borderId="51" xfId="0" applyFont="1" applyFill="1" applyBorder="1" applyAlignment="1">
      <alignment/>
    </xf>
    <xf numFmtId="39" fontId="6" fillId="12" borderId="29" xfId="0" applyNumberFormat="1" applyFont="1" applyFill="1" applyBorder="1" applyAlignment="1" applyProtection="1">
      <alignment/>
      <protection/>
    </xf>
    <xf numFmtId="180" fontId="13" fillId="12" borderId="0" xfId="0" applyNumberFormat="1" applyFont="1" applyFill="1" applyBorder="1" applyAlignment="1" applyProtection="1">
      <alignment horizontal="center"/>
      <protection/>
    </xf>
    <xf numFmtId="39" fontId="13" fillId="12" borderId="0" xfId="0" applyNumberFormat="1" applyFont="1" applyFill="1" applyBorder="1" applyAlignment="1" applyProtection="1">
      <alignment horizontal="center"/>
      <protection/>
    </xf>
    <xf numFmtId="37" fontId="6" fillId="12" borderId="29" xfId="0" applyNumberFormat="1" applyFont="1" applyFill="1" applyBorder="1" applyAlignment="1" applyProtection="1">
      <alignment horizontal="center"/>
      <protection/>
    </xf>
    <xf numFmtId="180" fontId="6" fillId="12" borderId="0" xfId="0" applyNumberFormat="1" applyFont="1" applyFill="1" applyBorder="1" applyAlignment="1" applyProtection="1">
      <alignment horizontal="center"/>
      <protection/>
    </xf>
    <xf numFmtId="39" fontId="6" fillId="12" borderId="0" xfId="0" applyNumberFormat="1" applyFont="1" applyFill="1" applyBorder="1" applyAlignment="1" applyProtection="1">
      <alignment horizontal="center"/>
      <protection/>
    </xf>
    <xf numFmtId="0" fontId="6" fillId="12" borderId="11" xfId="0" applyFont="1" applyFill="1" applyBorder="1" applyAlignment="1" applyProtection="1">
      <alignment horizontal="left"/>
      <protection/>
    </xf>
    <xf numFmtId="39" fontId="6" fillId="12" borderId="11" xfId="0" applyNumberFormat="1" applyFont="1" applyFill="1" applyBorder="1" applyAlignment="1" applyProtection="1">
      <alignment horizontal="center"/>
      <protection/>
    </xf>
    <xf numFmtId="178" fontId="6" fillId="12" borderId="0" xfId="0" applyNumberFormat="1" applyFont="1" applyFill="1" applyBorder="1" applyAlignment="1" applyProtection="1">
      <alignment/>
      <protection/>
    </xf>
    <xf numFmtId="0" fontId="13" fillId="12" borderId="18" xfId="0" applyFont="1" applyFill="1" applyBorder="1" applyAlignment="1" applyProtection="1">
      <alignment horizontal="left"/>
      <protection/>
    </xf>
    <xf numFmtId="178" fontId="13" fillId="12" borderId="0" xfId="0" applyNumberFormat="1" applyFont="1" applyFill="1" applyBorder="1" applyAlignment="1" applyProtection="1">
      <alignment/>
      <protection/>
    </xf>
    <xf numFmtId="181" fontId="13" fillId="12" borderId="0" xfId="0" applyNumberFormat="1" applyFont="1" applyFill="1" applyBorder="1" applyAlignment="1" applyProtection="1">
      <alignment horizontal="right"/>
      <protection/>
    </xf>
    <xf numFmtId="39" fontId="13" fillId="12" borderId="0" xfId="0" applyNumberFormat="1" applyFont="1" applyFill="1" applyBorder="1" applyAlignment="1" applyProtection="1">
      <alignment/>
      <protection/>
    </xf>
    <xf numFmtId="10" fontId="24" fillId="12" borderId="34" xfId="51" applyNumberFormat="1" applyFont="1" applyFill="1" applyBorder="1" applyAlignment="1" applyProtection="1">
      <alignment horizontal="center"/>
      <protection/>
    </xf>
    <xf numFmtId="0" fontId="6" fillId="12" borderId="23" xfId="0" applyFont="1" applyFill="1" applyBorder="1" applyAlignment="1" applyProtection="1">
      <alignment horizontal="left"/>
      <protection/>
    </xf>
    <xf numFmtId="16" fontId="20" fillId="12" borderId="39" xfId="0" applyNumberFormat="1" applyFont="1" applyFill="1" applyBorder="1" applyAlignment="1" applyProtection="1" quotePrefix="1">
      <alignment/>
      <protection/>
    </xf>
    <xf numFmtId="0" fontId="20" fillId="12" borderId="39" xfId="0" applyFont="1" applyFill="1" applyBorder="1" applyAlignment="1" applyProtection="1">
      <alignment horizontal="left"/>
      <protection/>
    </xf>
    <xf numFmtId="0" fontId="20" fillId="12" borderId="40" xfId="0" applyFont="1" applyFill="1" applyBorder="1" applyAlignment="1">
      <alignment/>
    </xf>
    <xf numFmtId="0" fontId="20" fillId="12" borderId="40" xfId="0" applyFont="1" applyFill="1" applyBorder="1" applyAlignment="1" applyProtection="1">
      <alignment horizontal="left"/>
      <protection/>
    </xf>
    <xf numFmtId="43" fontId="20" fillId="12" borderId="40" xfId="53" applyFont="1" applyFill="1" applyBorder="1" applyAlignment="1" applyProtection="1">
      <alignment/>
      <protection/>
    </xf>
    <xf numFmtId="16" fontId="20" fillId="12" borderId="40" xfId="0" applyNumberFormat="1" applyFont="1" applyFill="1" applyBorder="1" applyAlignment="1" applyProtection="1" quotePrefix="1">
      <alignment/>
      <protection/>
    </xf>
    <xf numFmtId="174" fontId="20" fillId="12" borderId="52" xfId="0" applyNumberFormat="1" applyFont="1" applyFill="1" applyBorder="1" applyAlignment="1" applyProtection="1" quotePrefix="1">
      <alignment horizontal="center"/>
      <protection/>
    </xf>
    <xf numFmtId="39" fontId="13" fillId="11" borderId="29" xfId="0" applyNumberFormat="1" applyFont="1" applyFill="1" applyBorder="1" applyAlignment="1" applyProtection="1">
      <alignment horizontal="center"/>
      <protection locked="0"/>
    </xf>
    <xf numFmtId="20" fontId="6" fillId="12" borderId="22" xfId="0" applyNumberFormat="1" applyFont="1" applyFill="1" applyBorder="1" applyAlignment="1" applyProtection="1">
      <alignment horizontal="left"/>
      <protection/>
    </xf>
    <xf numFmtId="0" fontId="6" fillId="12" borderId="18" xfId="0" applyFont="1" applyFill="1" applyBorder="1" applyAlignment="1" applyProtection="1">
      <alignment horizontal="center"/>
      <protection/>
    </xf>
    <xf numFmtId="0" fontId="6" fillId="12" borderId="11" xfId="0" applyFont="1" applyFill="1" applyBorder="1" applyAlignment="1" applyProtection="1">
      <alignment horizontal="center"/>
      <protection/>
    </xf>
    <xf numFmtId="0" fontId="27" fillId="12" borderId="50" xfId="0" applyFont="1" applyFill="1" applyBorder="1" applyAlignment="1">
      <alignment horizontal="center"/>
    </xf>
    <xf numFmtId="0" fontId="27" fillId="12" borderId="48" xfId="0" applyFont="1" applyFill="1" applyBorder="1" applyAlignment="1">
      <alignment horizontal="center"/>
    </xf>
    <xf numFmtId="0" fontId="27" fillId="12" borderId="51" xfId="0" applyFont="1" applyFill="1" applyBorder="1" applyAlignment="1">
      <alignment horizontal="center"/>
    </xf>
    <xf numFmtId="0" fontId="9" fillId="12" borderId="50" xfId="0" applyFont="1" applyFill="1" applyBorder="1" applyAlignment="1">
      <alignment horizontal="center"/>
    </xf>
    <xf numFmtId="0" fontId="9" fillId="12" borderId="48" xfId="0" applyFont="1" applyFill="1" applyBorder="1" applyAlignment="1">
      <alignment horizontal="center"/>
    </xf>
    <xf numFmtId="0" fontId="9" fillId="12" borderId="51" xfId="0" applyFont="1" applyFill="1" applyBorder="1" applyAlignment="1">
      <alignment horizontal="center"/>
    </xf>
    <xf numFmtId="0" fontId="18" fillId="12" borderId="53" xfId="0" applyFont="1" applyFill="1" applyBorder="1" applyAlignment="1" applyProtection="1">
      <alignment horizontal="center"/>
      <protection/>
    </xf>
    <xf numFmtId="0" fontId="18" fillId="12" borderId="17" xfId="0" applyFont="1" applyFill="1" applyBorder="1" applyAlignment="1" applyProtection="1">
      <alignment horizontal="center"/>
      <protection/>
    </xf>
    <xf numFmtId="0" fontId="18" fillId="12" borderId="14" xfId="0" applyFont="1" applyFill="1" applyBorder="1" applyAlignment="1" applyProtection="1">
      <alignment horizontal="center"/>
      <protection/>
    </xf>
    <xf numFmtId="20" fontId="6" fillId="12" borderId="22" xfId="0" applyNumberFormat="1" applyFont="1" applyFill="1" applyBorder="1" applyAlignment="1" applyProtection="1">
      <alignment horizontal="center"/>
      <protection/>
    </xf>
    <xf numFmtId="0" fontId="33" fillId="0" borderId="17" xfId="0" applyFont="1" applyBorder="1" applyAlignment="1">
      <alignment horizontal="left" vertical="center"/>
    </xf>
    <xf numFmtId="0" fontId="12" fillId="6" borderId="16" xfId="0" applyFont="1" applyFill="1" applyBorder="1" applyAlignment="1" applyProtection="1">
      <alignment horizontal="center"/>
      <protection/>
    </xf>
    <xf numFmtId="0" fontId="12" fillId="6" borderId="17" xfId="0" applyFont="1" applyFill="1" applyBorder="1" applyAlignment="1" applyProtection="1">
      <alignment horizontal="center"/>
      <protection/>
    </xf>
    <xf numFmtId="174" fontId="14" fillId="6" borderId="16" xfId="0" applyNumberFormat="1" applyFont="1" applyFill="1" applyBorder="1" applyAlignment="1" applyProtection="1">
      <alignment horizontal="center"/>
      <protection/>
    </xf>
    <xf numFmtId="174" fontId="14" fillId="6" borderId="17" xfId="0" applyNumberFormat="1" applyFont="1" applyFill="1" applyBorder="1" applyAlignment="1" applyProtection="1">
      <alignment horizontal="center"/>
      <protection/>
    </xf>
    <xf numFmtId="0" fontId="14" fillId="6" borderId="14" xfId="0" applyFont="1" applyFill="1" applyBorder="1" applyAlignment="1" applyProtection="1">
      <alignment horizontal="center"/>
      <protection/>
    </xf>
    <xf numFmtId="174" fontId="6" fillId="11" borderId="21" xfId="0" applyNumberFormat="1" applyFont="1" applyFill="1" applyBorder="1" applyAlignment="1" applyProtection="1">
      <alignment horizontal="center"/>
      <protection/>
    </xf>
    <xf numFmtId="174" fontId="6" fillId="11" borderId="22" xfId="0" applyNumberFormat="1" applyFont="1" applyFill="1" applyBorder="1" applyAlignment="1" applyProtection="1">
      <alignment horizontal="center"/>
      <protection/>
    </xf>
    <xf numFmtId="174" fontId="6" fillId="11" borderId="23" xfId="0" applyNumberFormat="1" applyFont="1" applyFill="1" applyBorder="1" applyAlignment="1" applyProtection="1">
      <alignment horizontal="center"/>
      <protection/>
    </xf>
    <xf numFmtId="174" fontId="6" fillId="11" borderId="19" xfId="0" applyNumberFormat="1" applyFont="1" applyFill="1" applyBorder="1" applyAlignment="1" applyProtection="1">
      <alignment horizontal="center"/>
      <protection/>
    </xf>
    <xf numFmtId="174" fontId="6" fillId="11" borderId="20" xfId="0" applyNumberFormat="1" applyFont="1" applyFill="1" applyBorder="1" applyAlignment="1" applyProtection="1">
      <alignment horizontal="center"/>
      <protection/>
    </xf>
    <xf numFmtId="0" fontId="16" fillId="6" borderId="50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14" fillId="18" borderId="16" xfId="0" applyFont="1" applyFill="1" applyBorder="1" applyAlignment="1" applyProtection="1">
      <alignment horizontal="center"/>
      <protection/>
    </xf>
    <xf numFmtId="0" fontId="14" fillId="18" borderId="17" xfId="0" applyFont="1" applyFill="1" applyBorder="1" applyAlignment="1" applyProtection="1">
      <alignment horizontal="center"/>
      <protection/>
    </xf>
    <xf numFmtId="0" fontId="14" fillId="18" borderId="14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 applyProtection="1">
      <alignment horizontal="center"/>
      <protection/>
    </xf>
    <xf numFmtId="174" fontId="6" fillId="11" borderId="18" xfId="0" applyNumberFormat="1" applyFont="1" applyFill="1" applyBorder="1" applyAlignment="1" applyProtection="1">
      <alignment horizontal="center"/>
      <protection/>
    </xf>
    <xf numFmtId="174" fontId="6" fillId="11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0</xdr:rowOff>
    </xdr:from>
    <xdr:to>
      <xdr:col>17</xdr:col>
      <xdr:colOff>638175</xdr:colOff>
      <xdr:row>62</xdr:row>
      <xdr:rowOff>0</xdr:rowOff>
    </xdr:to>
    <xdr:grpSp>
      <xdr:nvGrpSpPr>
        <xdr:cNvPr id="1" name="Group 106"/>
        <xdr:cNvGrpSpPr>
          <a:grpSpLocks/>
        </xdr:cNvGrpSpPr>
      </xdr:nvGrpSpPr>
      <xdr:grpSpPr>
        <a:xfrm>
          <a:off x="6524625" y="0"/>
          <a:ext cx="5772150" cy="9134475"/>
          <a:chOff x="1290" y="0"/>
          <a:chExt cx="743" cy="1137"/>
        </a:xfrm>
        <a:solidFill>
          <a:srgbClr val="FFFFFF"/>
        </a:solidFill>
      </xdr:grpSpPr>
      <xdr:pic>
        <xdr:nvPicPr>
          <xdr:cNvPr id="2" name="Picture 1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0" y="0"/>
            <a:ext cx="743" cy="11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108"/>
          <xdr:cNvSpPr>
            <a:spLocks/>
          </xdr:cNvSpPr>
        </xdr:nvSpPr>
        <xdr:spPr>
          <a:xfrm>
            <a:off x="1322" y="653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4" name="Oval 109"/>
          <xdr:cNvSpPr>
            <a:spLocks/>
          </xdr:cNvSpPr>
        </xdr:nvSpPr>
        <xdr:spPr>
          <a:xfrm>
            <a:off x="1663" y="796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5" name="AutoShape 110"/>
          <xdr:cNvSpPr>
            <a:spLocks/>
          </xdr:cNvSpPr>
        </xdr:nvSpPr>
        <xdr:spPr>
          <a:xfrm>
            <a:off x="1466" y="670"/>
            <a:ext cx="218" cy="130"/>
          </a:xfrm>
          <a:prstGeom prst="bentConnector2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6" name="Oval 111"/>
          <xdr:cNvSpPr>
            <a:spLocks/>
          </xdr:cNvSpPr>
        </xdr:nvSpPr>
        <xdr:spPr>
          <a:xfrm>
            <a:off x="1816" y="494"/>
            <a:ext cx="106" cy="34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7" name="Oval 112"/>
          <xdr:cNvSpPr>
            <a:spLocks/>
          </xdr:cNvSpPr>
        </xdr:nvSpPr>
        <xdr:spPr>
          <a:xfrm>
            <a:off x="1794" y="1043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ick%20Up%20Furg&#227;o%20-%20Coleta%20Hospitalar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k Up Fiorino Coleta Hospital"/>
    </sheetNames>
    <sheetDataSet>
      <sheetData sheetId="0">
        <row r="8">
          <cell r="F8">
            <v>3080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zoomScalePageLayoutView="0" workbookViewId="0" topLeftCell="I4">
      <selection activeCell="M21" sqref="M2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381" t="s">
        <v>146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  <c r="L1" s="123"/>
      <c r="M1" s="384" t="str">
        <f>A1</f>
        <v>CUSTO   DE   VEÍCULO   COLETA   HOSPITALAR</v>
      </c>
      <c r="N1" s="385"/>
      <c r="O1" s="385"/>
      <c r="P1" s="385"/>
      <c r="Q1" s="385"/>
      <c r="R1" s="385"/>
      <c r="S1" s="385"/>
      <c r="T1" s="385"/>
      <c r="U1" s="385"/>
      <c r="V1" s="385"/>
      <c r="W1" s="386"/>
    </row>
    <row r="2" spans="1:23" ht="20.25">
      <c r="A2" s="124" t="s">
        <v>9</v>
      </c>
      <c r="B2" s="125"/>
      <c r="C2" s="126"/>
      <c r="D2" s="125"/>
      <c r="E2" s="125"/>
      <c r="F2" s="125"/>
      <c r="G2" s="127"/>
      <c r="H2" s="125"/>
      <c r="I2" s="125"/>
      <c r="J2" s="125"/>
      <c r="K2" s="128"/>
      <c r="L2" s="123"/>
      <c r="M2" s="129" t="str">
        <f>A2</f>
        <v>DEMONSTRATIVO MENSAL DE CUSTO OPERACIONAL UNITÁRIO DE VEÍCULO </v>
      </c>
      <c r="N2" s="130"/>
      <c r="O2" s="130"/>
      <c r="P2" s="130"/>
      <c r="Q2" s="130"/>
      <c r="R2" s="130"/>
      <c r="S2" s="131"/>
      <c r="T2" s="130"/>
      <c r="U2" s="130"/>
      <c r="V2" s="130"/>
      <c r="W2" s="132"/>
    </row>
    <row r="3" spans="1:23" ht="21" thickBot="1">
      <c r="A3" s="133" t="s">
        <v>147</v>
      </c>
      <c r="B3" s="134"/>
      <c r="C3" s="134"/>
      <c r="D3" s="134"/>
      <c r="E3" s="135"/>
      <c r="F3" s="134"/>
      <c r="G3" s="134"/>
      <c r="H3" s="134"/>
      <c r="I3" s="134"/>
      <c r="J3" s="134"/>
      <c r="K3" s="136" t="s">
        <v>10</v>
      </c>
      <c r="L3" s="123"/>
      <c r="M3" s="137" t="s">
        <v>11</v>
      </c>
      <c r="N3" s="138"/>
      <c r="O3" s="138"/>
      <c r="P3" s="138"/>
      <c r="Q3" s="138"/>
      <c r="R3" s="138"/>
      <c r="S3" s="138"/>
      <c r="T3" s="138"/>
      <c r="U3" s="138"/>
      <c r="V3" s="138"/>
      <c r="W3" s="139" t="s">
        <v>10</v>
      </c>
    </row>
    <row r="4" spans="1:23" ht="12.7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23"/>
      <c r="M4" s="143" t="str">
        <f>A6</f>
        <v>Descrição do Veiculo: PICK UP  FURGÃO  FIORINO   ou   SIMILAR</v>
      </c>
      <c r="N4" s="144"/>
      <c r="O4" s="144"/>
      <c r="P4" s="144"/>
      <c r="Q4" s="144"/>
      <c r="R4" s="144"/>
      <c r="S4" s="144"/>
      <c r="T4" s="144"/>
      <c r="U4" s="144"/>
      <c r="V4" s="145"/>
      <c r="W4" s="146"/>
    </row>
    <row r="5" spans="1:23" ht="20.25">
      <c r="A5" s="387" t="s">
        <v>12</v>
      </c>
      <c r="B5" s="388"/>
      <c r="C5" s="388"/>
      <c r="D5" s="388"/>
      <c r="E5" s="388"/>
      <c r="F5" s="388"/>
      <c r="G5" s="388"/>
      <c r="H5" s="388"/>
      <c r="I5" s="388"/>
      <c r="J5" s="389"/>
      <c r="K5" s="147"/>
      <c r="L5" s="123"/>
      <c r="M5" s="148" t="str">
        <f>A7</f>
        <v>Ano de Fabricação: 2011</v>
      </c>
      <c r="N5" s="149"/>
      <c r="O5" s="149" t="str">
        <f>A9</f>
        <v>Contratante:</v>
      </c>
      <c r="P5" s="150" t="str">
        <f>B9</f>
        <v>PREFEITURA   MUNICIPAL   DE   PATOS   DE   MINAS - MG</v>
      </c>
      <c r="Q5" s="151"/>
      <c r="R5" s="149"/>
      <c r="S5" s="149"/>
      <c r="T5" s="149"/>
      <c r="U5" s="149"/>
      <c r="V5" s="152"/>
      <c r="W5" s="142"/>
    </row>
    <row r="6" spans="1:23" ht="12.75">
      <c r="A6" s="143" t="s">
        <v>148</v>
      </c>
      <c r="B6" s="144"/>
      <c r="C6" s="144"/>
      <c r="D6" s="144"/>
      <c r="E6" s="153"/>
      <c r="F6" s="144"/>
      <c r="G6" s="144"/>
      <c r="H6" s="144"/>
      <c r="I6" s="144"/>
      <c r="J6" s="145"/>
      <c r="K6" s="154"/>
      <c r="L6" s="123"/>
      <c r="M6" s="148" t="str">
        <f>A8</f>
        <v>Tipo de Combustível: Gasolina</v>
      </c>
      <c r="N6" s="149"/>
      <c r="O6" s="149"/>
      <c r="P6" s="149"/>
      <c r="Q6" s="155"/>
      <c r="R6" s="149"/>
      <c r="S6" s="149"/>
      <c r="T6" s="149"/>
      <c r="U6" s="149"/>
      <c r="V6" s="152"/>
      <c r="W6" s="142"/>
    </row>
    <row r="7" spans="1:23" ht="12.75">
      <c r="A7" s="148" t="s">
        <v>238</v>
      </c>
      <c r="B7" s="149"/>
      <c r="C7" s="149"/>
      <c r="D7" s="149"/>
      <c r="E7" s="149"/>
      <c r="F7" s="149"/>
      <c r="G7" s="149"/>
      <c r="H7" s="149"/>
      <c r="I7" s="149"/>
      <c r="J7" s="152"/>
      <c r="K7" s="156"/>
      <c r="L7" s="123"/>
      <c r="M7" s="157" t="str">
        <f>A10</f>
        <v>Km Estimada: </v>
      </c>
      <c r="N7" s="152"/>
      <c r="O7" s="158">
        <f>C10</f>
        <v>1100</v>
      </c>
      <c r="P7" s="152" t="str">
        <f>D10</f>
        <v>Km</v>
      </c>
      <c r="Q7" s="152"/>
      <c r="R7" s="152"/>
      <c r="S7" s="152"/>
      <c r="T7" s="152"/>
      <c r="U7" s="152"/>
      <c r="V7" s="152"/>
      <c r="W7" s="142"/>
    </row>
    <row r="8" spans="1:23" ht="15.75">
      <c r="A8" s="148" t="s">
        <v>149</v>
      </c>
      <c r="B8" s="149"/>
      <c r="C8" s="149"/>
      <c r="D8" s="315" t="s">
        <v>150</v>
      </c>
      <c r="E8" s="316"/>
      <c r="F8" s="317">
        <f>140*22</f>
        <v>3080</v>
      </c>
      <c r="G8" s="309">
        <f>F8/8</f>
        <v>385</v>
      </c>
      <c r="H8" s="149" t="s">
        <v>13</v>
      </c>
      <c r="I8" s="159">
        <v>0</v>
      </c>
      <c r="J8" s="152"/>
      <c r="K8" s="156"/>
      <c r="L8" s="123"/>
      <c r="M8" s="160" t="str">
        <f>A11</f>
        <v>Horário: </v>
      </c>
      <c r="N8" s="161">
        <f>B11</f>
        <v>0.291666666666667</v>
      </c>
      <c r="O8" s="162" t="s">
        <v>14</v>
      </c>
      <c r="P8" s="175">
        <f>E11</f>
        <v>0.708333333333333</v>
      </c>
      <c r="Q8" s="163" t="s">
        <v>15</v>
      </c>
      <c r="R8" s="164"/>
      <c r="S8" s="165"/>
      <c r="T8" s="165"/>
      <c r="U8" s="165"/>
      <c r="V8" s="165"/>
      <c r="W8" s="142"/>
    </row>
    <row r="9" spans="1:23" ht="15.75">
      <c r="A9" s="148" t="s">
        <v>16</v>
      </c>
      <c r="B9" s="150" t="s">
        <v>17</v>
      </c>
      <c r="C9" s="149"/>
      <c r="D9" s="149"/>
      <c r="E9" s="149"/>
      <c r="F9" s="149"/>
      <c r="G9" s="149"/>
      <c r="H9" s="149"/>
      <c r="I9" s="159"/>
      <c r="J9" s="152"/>
      <c r="K9" s="156"/>
      <c r="L9" s="123"/>
      <c r="M9" s="157"/>
      <c r="N9" s="166"/>
      <c r="O9" s="167"/>
      <c r="P9" s="166"/>
      <c r="Q9" s="168"/>
      <c r="R9" s="166"/>
      <c r="S9" s="152"/>
      <c r="T9" s="152"/>
      <c r="U9" s="152"/>
      <c r="V9" s="152"/>
      <c r="W9" s="142"/>
    </row>
    <row r="10" spans="1:28" ht="12.75">
      <c r="A10" s="148" t="s">
        <v>18</v>
      </c>
      <c r="B10" s="292"/>
      <c r="C10" s="169">
        <f>25*2*22</f>
        <v>1100</v>
      </c>
      <c r="D10" s="149" t="s">
        <v>19</v>
      </c>
      <c r="E10" s="292"/>
      <c r="F10" s="292"/>
      <c r="G10" s="152"/>
      <c r="H10" s="152"/>
      <c r="I10" s="152"/>
      <c r="J10" s="152"/>
      <c r="K10" s="156"/>
      <c r="L10" s="123"/>
      <c r="M10" s="170"/>
      <c r="N10" s="171"/>
      <c r="O10" s="171"/>
      <c r="P10" s="171"/>
      <c r="Q10" s="171"/>
      <c r="R10" s="145"/>
      <c r="S10" s="172"/>
      <c r="T10" s="171"/>
      <c r="U10" s="173" t="s">
        <v>20</v>
      </c>
      <c r="V10" s="174"/>
      <c r="W10" s="142"/>
      <c r="AB10" s="1">
        <f>180.55*20</f>
        <v>3611</v>
      </c>
    </row>
    <row r="11" spans="1:28" ht="15.75">
      <c r="A11" s="318" t="s">
        <v>151</v>
      </c>
      <c r="B11" s="390">
        <v>0.291666666666667</v>
      </c>
      <c r="C11" s="390"/>
      <c r="D11" s="378" t="s">
        <v>14</v>
      </c>
      <c r="E11" s="319">
        <v>0.708333333333333</v>
      </c>
      <c r="F11" s="164" t="s">
        <v>15</v>
      </c>
      <c r="G11" s="165"/>
      <c r="H11" s="165"/>
      <c r="I11" s="165"/>
      <c r="J11" s="165"/>
      <c r="K11" s="156"/>
      <c r="L11" s="123"/>
      <c r="M11" s="176" t="s">
        <v>22</v>
      </c>
      <c r="N11" s="177" t="s">
        <v>23</v>
      </c>
      <c r="O11" s="177" t="s">
        <v>24</v>
      </c>
      <c r="P11" s="177" t="s">
        <v>23</v>
      </c>
      <c r="Q11" s="177" t="s">
        <v>25</v>
      </c>
      <c r="R11" s="379" t="s">
        <v>26</v>
      </c>
      <c r="S11" s="380"/>
      <c r="T11" s="177" t="s">
        <v>27</v>
      </c>
      <c r="U11" s="177" t="s">
        <v>28</v>
      </c>
      <c r="V11" s="178" t="s">
        <v>29</v>
      </c>
      <c r="W11" s="142"/>
      <c r="AB11" s="1">
        <f>1120.82*4</f>
        <v>4483.28</v>
      </c>
    </row>
    <row r="12" spans="1:23" ht="12.75">
      <c r="A12" s="179"/>
      <c r="B12" s="180"/>
      <c r="C12" s="180"/>
      <c r="D12" s="180"/>
      <c r="E12" s="180"/>
      <c r="F12" s="180"/>
      <c r="G12" s="180"/>
      <c r="H12" s="180"/>
      <c r="I12" s="173" t="s">
        <v>20</v>
      </c>
      <c r="J12" s="181"/>
      <c r="K12" s="182"/>
      <c r="L12" s="123"/>
      <c r="M12" s="183"/>
      <c r="N12" s="184"/>
      <c r="O12" s="184"/>
      <c r="P12" s="184"/>
      <c r="Q12" s="184"/>
      <c r="R12" s="165"/>
      <c r="S12" s="185"/>
      <c r="T12" s="184"/>
      <c r="U12" s="186" t="s">
        <v>30</v>
      </c>
      <c r="V12" s="187"/>
      <c r="W12" s="188"/>
    </row>
    <row r="13" spans="1:28" ht="12.75">
      <c r="A13" s="176" t="s">
        <v>31</v>
      </c>
      <c r="B13" s="177" t="s">
        <v>23</v>
      </c>
      <c r="C13" s="177" t="s">
        <v>32</v>
      </c>
      <c r="D13" s="177" t="s">
        <v>23</v>
      </c>
      <c r="E13" s="177" t="s">
        <v>22</v>
      </c>
      <c r="F13" s="177" t="s">
        <v>25</v>
      </c>
      <c r="G13" s="177" t="s">
        <v>26</v>
      </c>
      <c r="H13" s="177" t="s">
        <v>27</v>
      </c>
      <c r="I13" s="177" t="s">
        <v>28</v>
      </c>
      <c r="J13" s="178" t="s">
        <v>29</v>
      </c>
      <c r="K13" s="189"/>
      <c r="L13" s="123"/>
      <c r="M13" s="170"/>
      <c r="N13" s="171"/>
      <c r="O13" s="171"/>
      <c r="P13" s="190"/>
      <c r="Q13" s="190"/>
      <c r="R13" s="152"/>
      <c r="S13" s="152"/>
      <c r="T13" s="171"/>
      <c r="U13" s="190"/>
      <c r="V13" s="174"/>
      <c r="W13" s="142"/>
      <c r="AB13" s="1">
        <f>SUM(AB10:AB12)</f>
        <v>8094.28</v>
      </c>
    </row>
    <row r="14" spans="1:23" ht="12.75">
      <c r="A14" s="191"/>
      <c r="B14" s="192"/>
      <c r="C14" s="192"/>
      <c r="D14" s="192"/>
      <c r="E14" s="192"/>
      <c r="F14" s="192"/>
      <c r="G14" s="192"/>
      <c r="H14" s="192"/>
      <c r="I14" s="186" t="s">
        <v>30</v>
      </c>
      <c r="J14" s="193"/>
      <c r="K14" s="182"/>
      <c r="L14" s="123"/>
      <c r="M14" s="194"/>
      <c r="N14" s="190"/>
      <c r="O14" s="190"/>
      <c r="P14" s="190"/>
      <c r="Q14" s="195" t="s">
        <v>33</v>
      </c>
      <c r="R14" s="196" t="s">
        <v>34</v>
      </c>
      <c r="S14" s="197"/>
      <c r="T14" s="190"/>
      <c r="U14" s="190"/>
      <c r="V14" s="178" t="s">
        <v>29</v>
      </c>
      <c r="W14" s="142"/>
    </row>
    <row r="15" spans="1:23" ht="12.75">
      <c r="A15" s="194"/>
      <c r="B15" s="190"/>
      <c r="C15" s="190"/>
      <c r="D15" s="190"/>
      <c r="E15" s="190"/>
      <c r="F15" s="190"/>
      <c r="G15" s="190"/>
      <c r="H15" s="190"/>
      <c r="I15" s="190"/>
      <c r="J15" s="198"/>
      <c r="K15" s="156"/>
      <c r="L15" s="123"/>
      <c r="M15" s="194"/>
      <c r="N15" s="190"/>
      <c r="O15" s="190"/>
      <c r="P15" s="190"/>
      <c r="Q15" s="190"/>
      <c r="R15" s="152"/>
      <c r="S15" s="197"/>
      <c r="T15" s="190"/>
      <c r="U15" s="199"/>
      <c r="V15" s="198"/>
      <c r="W15" s="142"/>
    </row>
    <row r="16" spans="1:23" ht="12.75">
      <c r="A16" s="194"/>
      <c r="B16" s="190"/>
      <c r="C16" s="190"/>
      <c r="D16" s="190"/>
      <c r="E16" s="190"/>
      <c r="F16" s="195" t="s">
        <v>35</v>
      </c>
      <c r="G16" s="177" t="s">
        <v>36</v>
      </c>
      <c r="H16" s="190"/>
      <c r="I16" s="190"/>
      <c r="J16" s="198"/>
      <c r="K16" s="156"/>
      <c r="L16" s="123"/>
      <c r="M16" s="311">
        <v>6</v>
      </c>
      <c r="N16" s="177" t="s">
        <v>37</v>
      </c>
      <c r="O16" s="200">
        <v>1000000</v>
      </c>
      <c r="P16" s="177" t="s">
        <v>19</v>
      </c>
      <c r="Q16" s="195" t="s">
        <v>38</v>
      </c>
      <c r="R16" s="196" t="s">
        <v>39</v>
      </c>
      <c r="S16" s="197"/>
      <c r="T16" s="201">
        <f>(M16/O16)</f>
        <v>6E-06</v>
      </c>
      <c r="U16" s="202">
        <f>I18</f>
        <v>15624.4</v>
      </c>
      <c r="V16" s="203">
        <f aca="true" t="shared" si="0" ref="V16:V22">(+U16*T16)</f>
        <v>0.0937</v>
      </c>
      <c r="W16" s="204">
        <f>V16*C10/V63</f>
        <v>0.0656</v>
      </c>
    </row>
    <row r="17" spans="1:23" ht="12.75">
      <c r="A17" s="194"/>
      <c r="B17" s="190"/>
      <c r="C17" s="190"/>
      <c r="D17" s="190"/>
      <c r="E17" s="190"/>
      <c r="F17" s="190"/>
      <c r="G17" s="190"/>
      <c r="H17" s="190"/>
      <c r="I17" s="190"/>
      <c r="J17" s="198"/>
      <c r="K17" s="156"/>
      <c r="L17" s="123"/>
      <c r="M17" s="312">
        <v>20</v>
      </c>
      <c r="N17" s="177" t="s">
        <v>10</v>
      </c>
      <c r="O17" s="200" t="s">
        <v>40</v>
      </c>
      <c r="P17" s="205" t="s">
        <v>40</v>
      </c>
      <c r="Q17" s="195" t="s">
        <v>41</v>
      </c>
      <c r="R17" s="196" t="s">
        <v>42</v>
      </c>
      <c r="S17" s="197"/>
      <c r="T17" s="201">
        <f>(+M17/100)</f>
        <v>0.2</v>
      </c>
      <c r="U17" s="206">
        <f>V16</f>
        <v>0.0937</v>
      </c>
      <c r="V17" s="203">
        <f t="shared" si="0"/>
        <v>0.0187</v>
      </c>
      <c r="W17" s="204">
        <f>V17*C10/V63</f>
        <v>0.0131</v>
      </c>
    </row>
    <row r="18" spans="1:26" ht="12.75">
      <c r="A18" s="207">
        <v>100</v>
      </c>
      <c r="B18" s="208" t="s">
        <v>10</v>
      </c>
      <c r="C18" s="35">
        <f>12*8</f>
        <v>96</v>
      </c>
      <c r="D18" s="177" t="s">
        <v>43</v>
      </c>
      <c r="E18" s="210" t="s">
        <v>44</v>
      </c>
      <c r="F18" s="210" t="s">
        <v>45</v>
      </c>
      <c r="G18" s="210" t="s">
        <v>46</v>
      </c>
      <c r="H18" s="211">
        <f>(+A18/C18)/100</f>
        <v>0.0104167</v>
      </c>
      <c r="I18" s="212">
        <f>I20-(M18*U18)</f>
        <v>15624.4</v>
      </c>
      <c r="J18" s="213">
        <f>(H18*I18)</f>
        <v>162.75</v>
      </c>
      <c r="K18" s="214">
        <f>J18/V63</f>
        <v>0.1037</v>
      </c>
      <c r="L18" s="123"/>
      <c r="M18" s="215">
        <v>4</v>
      </c>
      <c r="N18" s="177" t="s">
        <v>47</v>
      </c>
      <c r="O18" s="313">
        <v>45000</v>
      </c>
      <c r="P18" s="177" t="s">
        <v>19</v>
      </c>
      <c r="Q18" s="195" t="s">
        <v>48</v>
      </c>
      <c r="R18" s="155" t="s">
        <v>49</v>
      </c>
      <c r="S18" s="151"/>
      <c r="T18" s="201">
        <f>(+M18/O18)</f>
        <v>8.89E-05</v>
      </c>
      <c r="U18" s="35">
        <v>318.9</v>
      </c>
      <c r="V18" s="203">
        <f t="shared" si="0"/>
        <v>0.0284</v>
      </c>
      <c r="W18" s="204">
        <f>V18*C10/V63</f>
        <v>0.0199</v>
      </c>
      <c r="Z18" s="1">
        <f>180.55*25</f>
        <v>4513.75</v>
      </c>
    </row>
    <row r="19" spans="1:26" ht="12.75">
      <c r="A19" s="217">
        <f>A18</f>
        <v>100</v>
      </c>
      <c r="B19" s="177" t="s">
        <v>10</v>
      </c>
      <c r="C19" s="202">
        <f>C18</f>
        <v>96</v>
      </c>
      <c r="D19" s="177" t="s">
        <v>43</v>
      </c>
      <c r="E19" s="195" t="s">
        <v>44</v>
      </c>
      <c r="F19" s="195" t="s">
        <v>50</v>
      </c>
      <c r="G19" s="195" t="s">
        <v>51</v>
      </c>
      <c r="H19" s="201">
        <f>(+A19/C19)/100</f>
        <v>0.0104167</v>
      </c>
      <c r="I19" s="202">
        <f>I18*I8</f>
        <v>0</v>
      </c>
      <c r="J19" s="213">
        <f>(H19*I19)</f>
        <v>0</v>
      </c>
      <c r="K19" s="214" t="s">
        <v>52</v>
      </c>
      <c r="L19" s="123"/>
      <c r="M19" s="215">
        <v>1</v>
      </c>
      <c r="N19" s="177" t="s">
        <v>53</v>
      </c>
      <c r="O19" s="34">
        <v>11</v>
      </c>
      <c r="P19" s="177" t="s">
        <v>19</v>
      </c>
      <c r="Q19" s="195" t="s">
        <v>54</v>
      </c>
      <c r="R19" s="155" t="s">
        <v>55</v>
      </c>
      <c r="S19" s="151"/>
      <c r="T19" s="201">
        <f>(+M19/O19)</f>
        <v>0.0909091</v>
      </c>
      <c r="U19" s="35">
        <v>3.79</v>
      </c>
      <c r="V19" s="203">
        <f t="shared" si="0"/>
        <v>0.3445</v>
      </c>
      <c r="W19" s="204">
        <f>V19*C10/V63</f>
        <v>0.2413</v>
      </c>
      <c r="Z19" s="1">
        <f>1120.82</f>
        <v>1120.82</v>
      </c>
    </row>
    <row r="20" spans="1:26" ht="12.75">
      <c r="A20" s="112">
        <v>18</v>
      </c>
      <c r="B20" s="208" t="s">
        <v>10</v>
      </c>
      <c r="C20" s="212">
        <v>12</v>
      </c>
      <c r="D20" s="177" t="s">
        <v>43</v>
      </c>
      <c r="E20" s="210" t="s">
        <v>44</v>
      </c>
      <c r="F20" s="210" t="s">
        <v>56</v>
      </c>
      <c r="G20" s="210" t="s">
        <v>57</v>
      </c>
      <c r="H20" s="211">
        <f>(+A20/C20)/100</f>
        <v>0.015</v>
      </c>
      <c r="I20" s="209">
        <v>16900</v>
      </c>
      <c r="J20" s="213">
        <f>(H20*I20)</f>
        <v>253.5</v>
      </c>
      <c r="K20" s="214">
        <f>J20/V63</f>
        <v>0.1615</v>
      </c>
      <c r="L20" s="123"/>
      <c r="M20" s="215">
        <v>5</v>
      </c>
      <c r="N20" s="177" t="s">
        <v>53</v>
      </c>
      <c r="O20" s="314">
        <v>5000</v>
      </c>
      <c r="P20" s="177" t="s">
        <v>19</v>
      </c>
      <c r="Q20" s="195" t="s">
        <v>58</v>
      </c>
      <c r="R20" s="196" t="s">
        <v>59</v>
      </c>
      <c r="S20" s="197"/>
      <c r="T20" s="201">
        <f>(+M20/O20)</f>
        <v>0.001</v>
      </c>
      <c r="U20" s="35">
        <v>22</v>
      </c>
      <c r="V20" s="203">
        <f t="shared" si="0"/>
        <v>0.022</v>
      </c>
      <c r="W20" s="204">
        <f>V20*C10/V63</f>
        <v>0.0154</v>
      </c>
      <c r="Z20" s="1">
        <f>SUM(Z18:Z19)</f>
        <v>5634.57</v>
      </c>
    </row>
    <row r="21" spans="1:23" ht="12.75">
      <c r="A21" s="217">
        <f>A20</f>
        <v>18</v>
      </c>
      <c r="B21" s="177" t="s">
        <v>10</v>
      </c>
      <c r="C21" s="202">
        <f>C20</f>
        <v>12</v>
      </c>
      <c r="D21" s="177" t="s">
        <v>43</v>
      </c>
      <c r="E21" s="195" t="s">
        <v>44</v>
      </c>
      <c r="F21" s="195" t="s">
        <v>60</v>
      </c>
      <c r="G21" s="195" t="s">
        <v>61</v>
      </c>
      <c r="H21" s="201">
        <f>(+A21/C21)/100</f>
        <v>0.015</v>
      </c>
      <c r="I21" s="202">
        <f>I20*I8</f>
        <v>0</v>
      </c>
      <c r="J21" s="213">
        <f>(H21*I21)</f>
        <v>0</v>
      </c>
      <c r="K21" s="214" t="s">
        <v>52</v>
      </c>
      <c r="L21" s="123"/>
      <c r="M21" s="215">
        <v>6</v>
      </c>
      <c r="N21" s="177" t="s">
        <v>53</v>
      </c>
      <c r="O21" s="314">
        <v>30000</v>
      </c>
      <c r="P21" s="177" t="s">
        <v>19</v>
      </c>
      <c r="Q21" s="195" t="s">
        <v>62</v>
      </c>
      <c r="R21" s="196" t="s">
        <v>63</v>
      </c>
      <c r="S21" s="197"/>
      <c r="T21" s="201">
        <f>(+M21/O21)</f>
        <v>0.0002</v>
      </c>
      <c r="U21" s="35">
        <v>25</v>
      </c>
      <c r="V21" s="203">
        <f t="shared" si="0"/>
        <v>0.005</v>
      </c>
      <c r="W21" s="204">
        <f>V21*C10/V63</f>
        <v>0.0035</v>
      </c>
    </row>
    <row r="22" spans="1:26" ht="12.75">
      <c r="A22" s="217">
        <v>1</v>
      </c>
      <c r="B22" s="177" t="s">
        <v>64</v>
      </c>
      <c r="C22" s="202">
        <v>12</v>
      </c>
      <c r="D22" s="177" t="s">
        <v>43</v>
      </c>
      <c r="E22" s="195" t="s">
        <v>44</v>
      </c>
      <c r="F22" s="195" t="s">
        <v>65</v>
      </c>
      <c r="G22" s="195" t="s">
        <v>66</v>
      </c>
      <c r="H22" s="201">
        <f>A22/C22</f>
        <v>0.0833333</v>
      </c>
      <c r="I22" s="122">
        <v>77</v>
      </c>
      <c r="J22" s="219">
        <f>(I22*H22)</f>
        <v>6.42</v>
      </c>
      <c r="K22" s="214">
        <f>J22/V63</f>
        <v>0.0041</v>
      </c>
      <c r="L22" s="123"/>
      <c r="M22" s="215">
        <v>1</v>
      </c>
      <c r="N22" s="177" t="s">
        <v>47</v>
      </c>
      <c r="O22" s="314">
        <v>500</v>
      </c>
      <c r="P22" s="177" t="s">
        <v>19</v>
      </c>
      <c r="Q22" s="195" t="s">
        <v>67</v>
      </c>
      <c r="R22" s="196" t="s">
        <v>68</v>
      </c>
      <c r="S22" s="197"/>
      <c r="T22" s="201">
        <f>(+M22/O22)</f>
        <v>0.002</v>
      </c>
      <c r="U22" s="35">
        <v>50</v>
      </c>
      <c r="V22" s="203">
        <f t="shared" si="0"/>
        <v>0.1</v>
      </c>
      <c r="W22" s="204">
        <f>V22*C10/V63</f>
        <v>0.0701</v>
      </c>
      <c r="Z22" s="32">
        <f>Z20/25</f>
        <v>225.38</v>
      </c>
    </row>
    <row r="23" spans="1:23" ht="12.75">
      <c r="A23" s="217">
        <v>1</v>
      </c>
      <c r="B23" s="177" t="s">
        <v>64</v>
      </c>
      <c r="C23" s="202">
        <v>12</v>
      </c>
      <c r="D23" s="177" t="s">
        <v>43</v>
      </c>
      <c r="E23" s="195" t="s">
        <v>44</v>
      </c>
      <c r="F23" s="195" t="s">
        <v>69</v>
      </c>
      <c r="G23" s="195" t="s">
        <v>70</v>
      </c>
      <c r="H23" s="201">
        <f>A23/C23</f>
        <v>0.0833333</v>
      </c>
      <c r="I23" s="122">
        <v>478</v>
      </c>
      <c r="J23" s="219">
        <f>(I23*H23)</f>
        <v>39.83</v>
      </c>
      <c r="K23" s="214">
        <f>J23/V63</f>
        <v>0.0254</v>
      </c>
      <c r="L23" s="123"/>
      <c r="M23" s="215"/>
      <c r="N23" s="190"/>
      <c r="O23" s="200"/>
      <c r="P23" s="190"/>
      <c r="Q23" s="190"/>
      <c r="R23" s="152"/>
      <c r="S23" s="197"/>
      <c r="T23" s="220"/>
      <c r="U23" s="202"/>
      <c r="V23" s="203"/>
      <c r="W23" s="188"/>
    </row>
    <row r="24" spans="1:23" ht="12.75">
      <c r="A24" s="350">
        <v>0.05</v>
      </c>
      <c r="B24" s="177" t="s">
        <v>71</v>
      </c>
      <c r="C24" s="202">
        <v>12</v>
      </c>
      <c r="D24" s="177" t="s">
        <v>43</v>
      </c>
      <c r="E24" s="195" t="s">
        <v>44</v>
      </c>
      <c r="F24" s="195" t="s">
        <v>72</v>
      </c>
      <c r="G24" s="195" t="s">
        <v>231</v>
      </c>
      <c r="H24" s="201">
        <f>1/12</f>
        <v>0.0833333</v>
      </c>
      <c r="I24" s="212">
        <f>I20</f>
        <v>16900</v>
      </c>
      <c r="J24" s="219">
        <f>(I24*A24)/12</f>
        <v>70.42</v>
      </c>
      <c r="K24" s="214">
        <f>J24/V63</f>
        <v>0.0448</v>
      </c>
      <c r="L24" s="123"/>
      <c r="M24" s="320"/>
      <c r="N24" s="190"/>
      <c r="O24" s="220"/>
      <c r="P24" s="190"/>
      <c r="Q24" s="195" t="s">
        <v>73</v>
      </c>
      <c r="R24" s="272" t="s">
        <v>74</v>
      </c>
      <c r="S24" s="270"/>
      <c r="T24" s="145"/>
      <c r="U24" s="172"/>
      <c r="V24" s="321">
        <f>SUM(V16:V22)</f>
        <v>0.6123</v>
      </c>
      <c r="W24" s="227">
        <f>V24*C10/V63</f>
        <v>0.429</v>
      </c>
    </row>
    <row r="25" spans="1:23" ht="12.75">
      <c r="A25" s="217"/>
      <c r="B25" s="177"/>
      <c r="C25" s="202"/>
      <c r="D25" s="177"/>
      <c r="E25" s="195"/>
      <c r="F25" s="195"/>
      <c r="G25" s="195"/>
      <c r="H25" s="201"/>
      <c r="I25" s="212"/>
      <c r="J25" s="219"/>
      <c r="K25" s="214"/>
      <c r="L25" s="123"/>
      <c r="M25" s="322"/>
      <c r="N25" s="145"/>
      <c r="O25" s="323"/>
      <c r="P25" s="145"/>
      <c r="Q25" s="324"/>
      <c r="R25" s="324"/>
      <c r="S25" s="270"/>
      <c r="T25" s="145"/>
      <c r="U25" s="145"/>
      <c r="V25" s="325"/>
      <c r="W25" s="326"/>
    </row>
    <row r="26" spans="1:23" ht="12.75">
      <c r="A26" s="228"/>
      <c r="B26" s="190"/>
      <c r="C26" s="202"/>
      <c r="D26" s="190"/>
      <c r="E26" s="190"/>
      <c r="F26" s="190"/>
      <c r="G26" s="190"/>
      <c r="H26" s="229"/>
      <c r="I26" s="220"/>
      <c r="J26" s="230"/>
      <c r="K26" s="156"/>
      <c r="L26" s="123"/>
      <c r="M26" s="198"/>
      <c r="N26" s="152"/>
      <c r="O26" s="152"/>
      <c r="P26" s="152"/>
      <c r="Q26" s="197"/>
      <c r="R26" s="197"/>
      <c r="S26" s="197"/>
      <c r="T26" s="152"/>
      <c r="U26" s="166"/>
      <c r="V26" s="327"/>
      <c r="W26" s="328"/>
    </row>
    <row r="27" spans="1:23" ht="12.75">
      <c r="A27" s="228"/>
      <c r="B27" s="190"/>
      <c r="C27" s="202"/>
      <c r="D27" s="190"/>
      <c r="E27" s="190"/>
      <c r="F27" s="195" t="s">
        <v>75</v>
      </c>
      <c r="G27" s="195" t="s">
        <v>76</v>
      </c>
      <c r="H27" s="229"/>
      <c r="I27" s="220"/>
      <c r="J27" s="219">
        <f>SUM(J18:J25)</f>
        <v>532.92</v>
      </c>
      <c r="K27" s="231"/>
      <c r="L27" s="123"/>
      <c r="M27" s="233"/>
      <c r="N27" s="232"/>
      <c r="O27" s="232"/>
      <c r="P27" s="232"/>
      <c r="Q27" s="232"/>
      <c r="R27" s="232"/>
      <c r="S27" s="232"/>
      <c r="T27" s="232"/>
      <c r="U27" s="232"/>
      <c r="V27" s="329"/>
      <c r="W27" s="328"/>
    </row>
    <row r="28" spans="1:23" ht="12.75">
      <c r="A28" s="217">
        <v>100</v>
      </c>
      <c r="B28" s="177" t="s">
        <v>10</v>
      </c>
      <c r="C28" s="202">
        <v>1</v>
      </c>
      <c r="D28" s="177" t="s">
        <v>43</v>
      </c>
      <c r="E28" s="195" t="s">
        <v>44</v>
      </c>
      <c r="F28" s="190"/>
      <c r="G28" s="177" t="s">
        <v>77</v>
      </c>
      <c r="H28" s="234">
        <f>(+A28/C28)/100</f>
        <v>1</v>
      </c>
      <c r="I28" s="202"/>
      <c r="J28" s="219">
        <f>J27*H28</f>
        <v>532.92</v>
      </c>
      <c r="K28" s="235">
        <f>J28/V63</f>
        <v>0.3394</v>
      </c>
      <c r="L28" s="123"/>
      <c r="M28" s="198"/>
      <c r="N28" s="152"/>
      <c r="O28" s="152"/>
      <c r="P28" s="152"/>
      <c r="Q28" s="152"/>
      <c r="R28" s="152"/>
      <c r="S28" s="152"/>
      <c r="T28" s="152"/>
      <c r="U28" s="166"/>
      <c r="V28" s="330"/>
      <c r="W28" s="328"/>
    </row>
    <row r="29" spans="1:23" ht="12.75">
      <c r="A29" s="228"/>
      <c r="B29" s="190"/>
      <c r="C29" s="202"/>
      <c r="D29" s="190"/>
      <c r="E29" s="190"/>
      <c r="F29" s="190"/>
      <c r="G29" s="190"/>
      <c r="H29" s="234"/>
      <c r="I29" s="202"/>
      <c r="J29" s="219"/>
      <c r="K29" s="231"/>
      <c r="L29" s="123"/>
      <c r="M29" s="187"/>
      <c r="N29" s="165"/>
      <c r="O29" s="165"/>
      <c r="P29" s="165"/>
      <c r="Q29" s="165"/>
      <c r="R29" s="165"/>
      <c r="S29" s="165"/>
      <c r="T29" s="165"/>
      <c r="U29" s="164"/>
      <c r="V29" s="331"/>
      <c r="W29" s="328"/>
    </row>
    <row r="30" spans="1:23" ht="12.75">
      <c r="A30" s="332"/>
      <c r="B30" s="333"/>
      <c r="C30" s="334"/>
      <c r="D30" s="333"/>
      <c r="E30" s="334"/>
      <c r="F30" s="335"/>
      <c r="G30" s="335"/>
      <c r="H30" s="336"/>
      <c r="I30" s="337"/>
      <c r="J30" s="338"/>
      <c r="K30" s="339"/>
      <c r="L30" s="123"/>
      <c r="M30" s="239"/>
      <c r="N30" s="152"/>
      <c r="O30" s="152"/>
      <c r="P30" s="152"/>
      <c r="Q30" s="152"/>
      <c r="R30" s="152"/>
      <c r="S30" s="152"/>
      <c r="T30" s="152"/>
      <c r="U30" s="166"/>
      <c r="V30" s="166"/>
      <c r="W30" s="142"/>
    </row>
    <row r="31" spans="1:23" ht="12.75">
      <c r="A31" s="217">
        <v>1</v>
      </c>
      <c r="B31" s="177" t="s">
        <v>127</v>
      </c>
      <c r="C31" s="200">
        <v>120</v>
      </c>
      <c r="D31" s="177" t="s">
        <v>43</v>
      </c>
      <c r="E31" s="200">
        <v>1</v>
      </c>
      <c r="F31" s="195" t="s">
        <v>80</v>
      </c>
      <c r="G31" s="195" t="s">
        <v>152</v>
      </c>
      <c r="H31" s="340">
        <f>A31/C31</f>
        <v>0.008333</v>
      </c>
      <c r="I31" s="212">
        <v>3100</v>
      </c>
      <c r="J31" s="219">
        <f>(+I31*H31)</f>
        <v>25.83</v>
      </c>
      <c r="K31" s="214">
        <f>J31/V63</f>
        <v>0.0165</v>
      </c>
      <c r="L31" s="123"/>
      <c r="M31" s="140"/>
      <c r="N31" s="141"/>
      <c r="O31" s="141"/>
      <c r="P31" s="141"/>
      <c r="Q31" s="141"/>
      <c r="R31" s="141"/>
      <c r="S31" s="141"/>
      <c r="T31" s="141"/>
      <c r="U31" s="141"/>
      <c r="V31" s="141"/>
      <c r="W31" s="142"/>
    </row>
    <row r="32" spans="1:23" ht="12.75">
      <c r="A32" s="140"/>
      <c r="B32" s="341"/>
      <c r="C32" s="341"/>
      <c r="D32" s="341"/>
      <c r="E32" s="341"/>
      <c r="F32" s="341"/>
      <c r="G32" s="341"/>
      <c r="H32" s="341"/>
      <c r="I32" s="341"/>
      <c r="J32" s="341"/>
      <c r="K32" s="132"/>
      <c r="L32" s="123"/>
      <c r="M32" s="250"/>
      <c r="N32" s="251"/>
      <c r="O32" s="251"/>
      <c r="P32" s="251"/>
      <c r="Q32" s="252"/>
      <c r="R32" s="251"/>
      <c r="S32" s="251"/>
      <c r="T32" s="251"/>
      <c r="U32" s="253"/>
      <c r="V32" s="251"/>
      <c r="W32" s="132"/>
    </row>
    <row r="33" spans="1:23" ht="20.25">
      <c r="A33" s="207">
        <v>1</v>
      </c>
      <c r="B33" s="208" t="s">
        <v>78</v>
      </c>
      <c r="C33" s="216">
        <f>C10</f>
        <v>1100</v>
      </c>
      <c r="D33" s="208" t="s">
        <v>79</v>
      </c>
      <c r="E33" s="240">
        <f>(+C33*H33)</f>
        <v>11</v>
      </c>
      <c r="F33" s="210" t="s">
        <v>87</v>
      </c>
      <c r="G33" s="241" t="s">
        <v>81</v>
      </c>
      <c r="H33" s="237">
        <f>(+A33/100)</f>
        <v>0.01</v>
      </c>
      <c r="I33" s="242">
        <f>V24</f>
        <v>0.6123</v>
      </c>
      <c r="J33" s="213">
        <f>(+E33*I33)</f>
        <v>6.74</v>
      </c>
      <c r="K33" s="214">
        <f>J33/V63</f>
        <v>0.0043</v>
      </c>
      <c r="L33" s="123"/>
      <c r="M33" s="133" t="s">
        <v>82</v>
      </c>
      <c r="N33" s="134"/>
      <c r="O33" s="134"/>
      <c r="P33" s="134"/>
      <c r="Q33" s="134"/>
      <c r="R33" s="134"/>
      <c r="S33" s="134"/>
      <c r="T33" s="134"/>
      <c r="U33" s="134"/>
      <c r="V33" s="254"/>
      <c r="W33" s="132"/>
    </row>
    <row r="34" spans="1:23" ht="12.75">
      <c r="A34" s="217"/>
      <c r="B34" s="177"/>
      <c r="C34" s="219"/>
      <c r="D34" s="177"/>
      <c r="E34" s="200"/>
      <c r="F34" s="195"/>
      <c r="G34" s="195"/>
      <c r="H34" s="234"/>
      <c r="I34" s="212"/>
      <c r="J34" s="219"/>
      <c r="K34" s="214"/>
      <c r="L34" s="123"/>
      <c r="M34" s="255"/>
      <c r="N34" s="256"/>
      <c r="O34" s="256"/>
      <c r="P34" s="256"/>
      <c r="Q34" s="256"/>
      <c r="R34" s="256"/>
      <c r="S34" s="256"/>
      <c r="T34" s="256"/>
      <c r="U34" s="256"/>
      <c r="V34" s="256"/>
      <c r="W34" s="132"/>
    </row>
    <row r="35" spans="1:23" ht="12.75">
      <c r="A35" s="215"/>
      <c r="B35" s="190"/>
      <c r="C35" s="202"/>
      <c r="D35" s="190"/>
      <c r="E35" s="190"/>
      <c r="F35" s="210" t="s">
        <v>128</v>
      </c>
      <c r="G35" s="190" t="s">
        <v>224</v>
      </c>
      <c r="H35" s="229"/>
      <c r="I35" s="199"/>
      <c r="J35" s="219">
        <f>SUM(J28:J34)</f>
        <v>565.49</v>
      </c>
      <c r="K35" s="214"/>
      <c r="L35" s="123"/>
      <c r="M35" s="257"/>
      <c r="N35" s="145"/>
      <c r="O35" s="171"/>
      <c r="P35" s="171"/>
      <c r="Q35" s="171"/>
      <c r="R35" s="174"/>
      <c r="S35" s="172"/>
      <c r="T35" s="171"/>
      <c r="U35" s="173" t="s">
        <v>20</v>
      </c>
      <c r="V35" s="258"/>
      <c r="W35" s="132"/>
    </row>
    <row r="36" spans="1:23" ht="12.75">
      <c r="A36" s="215"/>
      <c r="B36" s="190"/>
      <c r="C36" s="202"/>
      <c r="D36" s="190"/>
      <c r="E36" s="243"/>
      <c r="F36" s="210"/>
      <c r="G36" s="210"/>
      <c r="H36" s="244"/>
      <c r="I36" s="245"/>
      <c r="J36" s="246"/>
      <c r="K36" s="214"/>
      <c r="L36" s="123"/>
      <c r="M36" s="239"/>
      <c r="N36" s="152"/>
      <c r="O36" s="190"/>
      <c r="P36" s="190"/>
      <c r="Q36" s="190"/>
      <c r="R36" s="198"/>
      <c r="S36" s="259"/>
      <c r="T36" s="190"/>
      <c r="U36" s="220"/>
      <c r="V36" s="236"/>
      <c r="W36" s="132"/>
    </row>
    <row r="37" spans="1:23" ht="12.75">
      <c r="A37" s="247">
        <v>3.5</v>
      </c>
      <c r="B37" s="208" t="s">
        <v>123</v>
      </c>
      <c r="C37" s="202"/>
      <c r="D37" s="177"/>
      <c r="E37" s="243"/>
      <c r="F37" s="210" t="s">
        <v>226</v>
      </c>
      <c r="G37" s="248" t="s">
        <v>225</v>
      </c>
      <c r="H37" s="229">
        <f>A37/100</f>
        <v>0.035</v>
      </c>
      <c r="I37" s="249">
        <f>J35</f>
        <v>565.49</v>
      </c>
      <c r="J37" s="213">
        <f>H37*I37</f>
        <v>19.79</v>
      </c>
      <c r="K37" s="214">
        <f>J37/V63</f>
        <v>0.0126</v>
      </c>
      <c r="L37" s="123"/>
      <c r="M37" s="239"/>
      <c r="N37" s="152"/>
      <c r="O37" s="190"/>
      <c r="P37" s="190"/>
      <c r="Q37" s="190"/>
      <c r="R37" s="198"/>
      <c r="S37" s="259"/>
      <c r="T37" s="190"/>
      <c r="U37" s="220"/>
      <c r="V37" s="236"/>
      <c r="W37" s="132"/>
    </row>
    <row r="38" spans="1:23" ht="12.75">
      <c r="A38" s="217"/>
      <c r="B38" s="177"/>
      <c r="C38" s="202"/>
      <c r="D38" s="177"/>
      <c r="E38" s="200"/>
      <c r="F38" s="195"/>
      <c r="G38" s="195"/>
      <c r="H38" s="234"/>
      <c r="I38" s="212"/>
      <c r="J38" s="219"/>
      <c r="K38" s="214"/>
      <c r="L38" s="123"/>
      <c r="M38" s="239"/>
      <c r="N38" s="152"/>
      <c r="O38" s="190"/>
      <c r="P38" s="190"/>
      <c r="Q38" s="190"/>
      <c r="R38" s="198"/>
      <c r="S38" s="259"/>
      <c r="T38" s="190"/>
      <c r="U38" s="220"/>
      <c r="V38" s="236"/>
      <c r="W38" s="132"/>
    </row>
    <row r="39" spans="1:23" ht="12.75">
      <c r="A39" s="217"/>
      <c r="B39" s="177"/>
      <c r="C39" s="202"/>
      <c r="D39" s="177"/>
      <c r="E39" s="200"/>
      <c r="F39" s="195"/>
      <c r="G39" s="195"/>
      <c r="H39" s="234"/>
      <c r="I39" s="212"/>
      <c r="J39" s="219"/>
      <c r="K39" s="214"/>
      <c r="L39" s="123"/>
      <c r="M39" s="239"/>
      <c r="N39" s="152"/>
      <c r="O39" s="190"/>
      <c r="P39" s="190"/>
      <c r="Q39" s="190"/>
      <c r="R39" s="198"/>
      <c r="S39" s="259"/>
      <c r="T39" s="190"/>
      <c r="U39" s="220"/>
      <c r="V39" s="236"/>
      <c r="W39" s="132"/>
    </row>
    <row r="40" spans="1:23" ht="12.75">
      <c r="A40" s="140"/>
      <c r="B40" s="341"/>
      <c r="C40" s="341"/>
      <c r="D40" s="341"/>
      <c r="E40" s="341"/>
      <c r="F40" s="341"/>
      <c r="G40" s="341"/>
      <c r="H40" s="342"/>
      <c r="I40" s="343"/>
      <c r="J40" s="343"/>
      <c r="K40" s="132"/>
      <c r="L40" s="123"/>
      <c r="M40" s="239"/>
      <c r="N40" s="152"/>
      <c r="O40" s="177" t="s">
        <v>31</v>
      </c>
      <c r="P40" s="177" t="s">
        <v>23</v>
      </c>
      <c r="Q40" s="177" t="s">
        <v>25</v>
      </c>
      <c r="R40" s="379" t="s">
        <v>83</v>
      </c>
      <c r="S40" s="380"/>
      <c r="T40" s="177" t="s">
        <v>27</v>
      </c>
      <c r="U40" s="177" t="s">
        <v>28</v>
      </c>
      <c r="V40" s="219" t="s">
        <v>84</v>
      </c>
      <c r="W40" s="344"/>
    </row>
    <row r="41" spans="1:23" ht="12.75">
      <c r="A41" s="217"/>
      <c r="B41" s="177"/>
      <c r="C41" s="202"/>
      <c r="D41" s="177"/>
      <c r="E41" s="200"/>
      <c r="F41" s="195"/>
      <c r="G41" s="195"/>
      <c r="H41" s="234"/>
      <c r="I41" s="212"/>
      <c r="J41" s="219"/>
      <c r="K41" s="214"/>
      <c r="L41" s="123"/>
      <c r="M41" s="255"/>
      <c r="N41" s="256"/>
      <c r="O41" s="192"/>
      <c r="P41" s="192"/>
      <c r="Q41" s="192"/>
      <c r="R41" s="193"/>
      <c r="S41" s="345"/>
      <c r="T41" s="192"/>
      <c r="U41" s="186" t="s">
        <v>30</v>
      </c>
      <c r="V41" s="193"/>
      <c r="W41" s="142"/>
    </row>
    <row r="42" spans="1:23" ht="12.75">
      <c r="A42" s="194"/>
      <c r="B42" s="190"/>
      <c r="C42" s="220"/>
      <c r="D42" s="190"/>
      <c r="E42" s="190"/>
      <c r="F42" s="190"/>
      <c r="G42" s="190"/>
      <c r="H42" s="190"/>
      <c r="I42" s="220"/>
      <c r="J42" s="230"/>
      <c r="K42" s="214"/>
      <c r="L42" s="123"/>
      <c r="M42" s="239"/>
      <c r="N42" s="152"/>
      <c r="O42" s="190"/>
      <c r="P42" s="171"/>
      <c r="Q42" s="196" t="s">
        <v>85</v>
      </c>
      <c r="R42" s="222" t="s">
        <v>86</v>
      </c>
      <c r="S42" s="223"/>
      <c r="T42" s="224"/>
      <c r="U42" s="225"/>
      <c r="V42" s="260" t="s">
        <v>29</v>
      </c>
      <c r="W42" s="261"/>
    </row>
    <row r="43" spans="1:23" ht="12.75">
      <c r="A43" s="183"/>
      <c r="B43" s="184"/>
      <c r="C43" s="186"/>
      <c r="D43" s="184"/>
      <c r="E43" s="184"/>
      <c r="F43" s="221" t="s">
        <v>130</v>
      </c>
      <c r="G43" s="222" t="s">
        <v>227</v>
      </c>
      <c r="H43" s="262"/>
      <c r="I43" s="262"/>
      <c r="J43" s="263">
        <f>SUM(J35:J42)</f>
        <v>585.28</v>
      </c>
      <c r="K43" s="235">
        <f>J43/V63</f>
        <v>0.3728</v>
      </c>
      <c r="L43" s="123"/>
      <c r="M43" s="239"/>
      <c r="N43" s="152"/>
      <c r="O43" s="190"/>
      <c r="P43" s="190"/>
      <c r="Q43" s="196" t="s">
        <v>88</v>
      </c>
      <c r="R43" s="248" t="s">
        <v>89</v>
      </c>
      <c r="S43" s="264"/>
      <c r="T43" s="220"/>
      <c r="U43" s="206">
        <f>V24</f>
        <v>0.6123</v>
      </c>
      <c r="V43" s="203">
        <f>$V$24</f>
        <v>0.6123</v>
      </c>
      <c r="W43" s="142"/>
    </row>
    <row r="44" spans="1:23" ht="9" customHeight="1">
      <c r="A44" s="239"/>
      <c r="B44" s="152"/>
      <c r="C44" s="152"/>
      <c r="D44" s="152"/>
      <c r="E44" s="152"/>
      <c r="F44" s="196"/>
      <c r="G44" s="196"/>
      <c r="H44" s="196"/>
      <c r="I44" s="196"/>
      <c r="J44" s="166"/>
      <c r="K44" s="265"/>
      <c r="L44" s="123"/>
      <c r="M44" s="239"/>
      <c r="N44" s="152"/>
      <c r="O44" s="202"/>
      <c r="P44" s="177"/>
      <c r="Q44" s="196"/>
      <c r="R44" s="248"/>
      <c r="S44" s="264"/>
      <c r="T44" s="201"/>
      <c r="U44" s="220"/>
      <c r="V44" s="203"/>
      <c r="W44" s="204"/>
    </row>
    <row r="45" spans="1:23" ht="20.25">
      <c r="A45" s="266" t="s">
        <v>91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31"/>
      <c r="L45" s="123"/>
      <c r="M45" s="239"/>
      <c r="N45" s="152"/>
      <c r="O45" s="202">
        <f>C52</f>
        <v>5.5</v>
      </c>
      <c r="P45" s="177" t="s">
        <v>10</v>
      </c>
      <c r="Q45" s="196" t="s">
        <v>90</v>
      </c>
      <c r="R45" s="248" t="s">
        <v>93</v>
      </c>
      <c r="S45" s="264"/>
      <c r="T45" s="201">
        <f>(+O45/100)</f>
        <v>0.055</v>
      </c>
      <c r="U45" s="220"/>
      <c r="V45" s="203">
        <f>(+V43*T45)</f>
        <v>0.0337</v>
      </c>
      <c r="W45" s="204">
        <f>V45*C10/V63</f>
        <v>0.0236</v>
      </c>
    </row>
    <row r="46" spans="1:23" ht="20.25">
      <c r="A46" s="239"/>
      <c r="B46" s="152"/>
      <c r="C46" s="152"/>
      <c r="D46" s="152"/>
      <c r="E46" s="152"/>
      <c r="F46" s="152"/>
      <c r="G46" s="197"/>
      <c r="H46" s="152"/>
      <c r="I46" s="152"/>
      <c r="J46" s="152"/>
      <c r="K46" s="136"/>
      <c r="L46" s="123"/>
      <c r="M46" s="239"/>
      <c r="N46" s="152"/>
      <c r="O46" s="202" t="s">
        <v>94</v>
      </c>
      <c r="P46" s="190"/>
      <c r="Q46" s="196" t="s">
        <v>92</v>
      </c>
      <c r="R46" s="248" t="s">
        <v>211</v>
      </c>
      <c r="S46" s="264"/>
      <c r="T46" s="220"/>
      <c r="U46" s="220"/>
      <c r="V46" s="203">
        <f>SUM(V43:V45)</f>
        <v>0.646</v>
      </c>
      <c r="W46" s="204"/>
    </row>
    <row r="47" spans="1:23" ht="12.75">
      <c r="A47" s="257"/>
      <c r="B47" s="172"/>
      <c r="C47" s="171"/>
      <c r="D47" s="171"/>
      <c r="E47" s="171"/>
      <c r="F47" s="269"/>
      <c r="G47" s="270"/>
      <c r="H47" s="180"/>
      <c r="I47" s="173" t="s">
        <v>20</v>
      </c>
      <c r="J47" s="174"/>
      <c r="K47" s="156"/>
      <c r="L47" s="123"/>
      <c r="M47" s="239"/>
      <c r="N47" s="152"/>
      <c r="O47" s="202">
        <f>C55</f>
        <v>0</v>
      </c>
      <c r="P47" s="177" t="s">
        <v>10</v>
      </c>
      <c r="Q47" s="196" t="s">
        <v>95</v>
      </c>
      <c r="R47" s="248" t="s">
        <v>97</v>
      </c>
      <c r="S47" s="264"/>
      <c r="T47" s="201">
        <f>(+O47/100)</f>
        <v>0</v>
      </c>
      <c r="U47" s="268">
        <f>V46</f>
        <v>0.646</v>
      </c>
      <c r="V47" s="203">
        <f>(+V46*T47)</f>
        <v>0</v>
      </c>
      <c r="W47" s="204">
        <f>V47*C10/V63</f>
        <v>0</v>
      </c>
    </row>
    <row r="48" spans="1:23" ht="12.75">
      <c r="A48" s="239"/>
      <c r="B48" s="259"/>
      <c r="C48" s="177" t="s">
        <v>31</v>
      </c>
      <c r="D48" s="177" t="s">
        <v>23</v>
      </c>
      <c r="E48" s="177" t="s">
        <v>25</v>
      </c>
      <c r="F48" s="379" t="s">
        <v>26</v>
      </c>
      <c r="G48" s="380"/>
      <c r="H48" s="177" t="s">
        <v>27</v>
      </c>
      <c r="I48" s="177" t="s">
        <v>28</v>
      </c>
      <c r="J48" s="178" t="s">
        <v>29</v>
      </c>
      <c r="K48" s="156"/>
      <c r="L48" s="123"/>
      <c r="M48" s="239"/>
      <c r="N48" s="152"/>
      <c r="O48" s="202" t="s">
        <v>94</v>
      </c>
      <c r="P48" s="190"/>
      <c r="Q48" s="196" t="s">
        <v>96</v>
      </c>
      <c r="R48" s="248" t="s">
        <v>212</v>
      </c>
      <c r="S48" s="264"/>
      <c r="T48" s="220"/>
      <c r="U48" s="220"/>
      <c r="V48" s="203">
        <f>SUM(V46:V47)</f>
        <v>0.646</v>
      </c>
      <c r="W48" s="204"/>
    </row>
    <row r="49" spans="1:23" ht="12.75">
      <c r="A49" s="239"/>
      <c r="B49" s="259"/>
      <c r="C49" s="184"/>
      <c r="D49" s="184"/>
      <c r="E49" s="184"/>
      <c r="F49" s="187"/>
      <c r="G49" s="165"/>
      <c r="H49" s="192"/>
      <c r="I49" s="186" t="s">
        <v>30</v>
      </c>
      <c r="J49" s="187"/>
      <c r="K49" s="271"/>
      <c r="L49" s="123"/>
      <c r="M49" s="239"/>
      <c r="N49" s="152"/>
      <c r="O49" s="202">
        <f>C58</f>
        <v>9</v>
      </c>
      <c r="P49" s="177" t="s">
        <v>10</v>
      </c>
      <c r="Q49" s="196" t="s">
        <v>98</v>
      </c>
      <c r="R49" s="248" t="s">
        <v>100</v>
      </c>
      <c r="S49" s="264"/>
      <c r="T49" s="201">
        <f>(+O49/100)</f>
        <v>0.09</v>
      </c>
      <c r="U49" s="268">
        <f>V48</f>
        <v>0.646</v>
      </c>
      <c r="V49" s="203">
        <f>(+V48*T49)</f>
        <v>0.0581</v>
      </c>
      <c r="W49" s="204">
        <f>V49*C10/V63</f>
        <v>0.0407</v>
      </c>
    </row>
    <row r="50" spans="1:23" ht="12.75">
      <c r="A50" s="239"/>
      <c r="B50" s="259"/>
      <c r="C50" s="190"/>
      <c r="D50" s="190"/>
      <c r="E50" s="195" t="s">
        <v>101</v>
      </c>
      <c r="F50" s="272" t="s">
        <v>228</v>
      </c>
      <c r="G50" s="145"/>
      <c r="H50" s="273"/>
      <c r="I50" s="202">
        <f>J43</f>
        <v>585.28</v>
      </c>
      <c r="J50" s="274">
        <f>J43</f>
        <v>585.28</v>
      </c>
      <c r="K50" s="156"/>
      <c r="L50" s="123"/>
      <c r="M50" s="239"/>
      <c r="N50" s="152"/>
      <c r="O50" s="202" t="s">
        <v>94</v>
      </c>
      <c r="P50" s="190"/>
      <c r="Q50" s="196" t="s">
        <v>99</v>
      </c>
      <c r="R50" s="248" t="s">
        <v>213</v>
      </c>
      <c r="S50" s="264"/>
      <c r="T50" s="220"/>
      <c r="U50" s="220"/>
      <c r="V50" s="203">
        <f>SUM(V48:V49)</f>
        <v>0.7041</v>
      </c>
      <c r="W50" s="204"/>
    </row>
    <row r="51" spans="1:23" ht="12.75">
      <c r="A51" s="239"/>
      <c r="B51" s="259"/>
      <c r="C51" s="218"/>
      <c r="D51" s="177"/>
      <c r="E51" s="195"/>
      <c r="F51" s="248"/>
      <c r="G51" s="264"/>
      <c r="H51" s="201"/>
      <c r="I51" s="220"/>
      <c r="J51" s="219"/>
      <c r="K51" s="214"/>
      <c r="L51" s="123"/>
      <c r="M51" s="239"/>
      <c r="N51" s="152"/>
      <c r="O51" s="202">
        <f>C61</f>
        <v>7.81</v>
      </c>
      <c r="P51" s="177" t="s">
        <v>10</v>
      </c>
      <c r="Q51" s="196" t="s">
        <v>104</v>
      </c>
      <c r="R51" s="248" t="s">
        <v>105</v>
      </c>
      <c r="S51" s="264"/>
      <c r="T51" s="201">
        <f>(+O51/100)</f>
        <v>0.0781</v>
      </c>
      <c r="U51" s="220"/>
      <c r="V51" s="203">
        <f>(+V53*T51)</f>
        <v>0.0596</v>
      </c>
      <c r="W51" s="204">
        <f>V51*C10/V63</f>
        <v>0.0418</v>
      </c>
    </row>
    <row r="52" spans="1:23" ht="12.75">
      <c r="A52" s="239"/>
      <c r="B52" s="259"/>
      <c r="C52" s="34">
        <v>5.5</v>
      </c>
      <c r="D52" s="177" t="s">
        <v>10</v>
      </c>
      <c r="E52" s="195" t="s">
        <v>103</v>
      </c>
      <c r="F52" s="248" t="s">
        <v>93</v>
      </c>
      <c r="G52" s="264"/>
      <c r="H52" s="201">
        <f>(C52/100)</f>
        <v>0.055</v>
      </c>
      <c r="I52" s="220"/>
      <c r="J52" s="219">
        <f>(+J50*H52)</f>
        <v>32.19</v>
      </c>
      <c r="K52" s="214">
        <f>J52/V63</f>
        <v>0.0205</v>
      </c>
      <c r="L52" s="123"/>
      <c r="M52" s="239"/>
      <c r="N52" s="152"/>
      <c r="O52" s="202" t="s">
        <v>94</v>
      </c>
      <c r="P52" s="190"/>
      <c r="Q52" s="152"/>
      <c r="R52" s="198"/>
      <c r="S52" s="259"/>
      <c r="T52" s="220"/>
      <c r="U52" s="220"/>
      <c r="V52" s="203"/>
      <c r="W52" s="188"/>
    </row>
    <row r="53" spans="1:25" ht="12.75">
      <c r="A53" s="239"/>
      <c r="B53" s="259"/>
      <c r="C53" s="202" t="s">
        <v>94</v>
      </c>
      <c r="D53" s="190"/>
      <c r="E53" s="190"/>
      <c r="F53" s="198"/>
      <c r="G53" s="152"/>
      <c r="H53" s="201"/>
      <c r="I53" s="202"/>
      <c r="J53" s="219"/>
      <c r="K53" s="275"/>
      <c r="L53" s="123"/>
      <c r="M53" s="277"/>
      <c r="N53" s="165"/>
      <c r="O53" s="278" t="s">
        <v>94</v>
      </c>
      <c r="P53" s="184"/>
      <c r="Q53" s="279" t="s">
        <v>102</v>
      </c>
      <c r="R53" s="222" t="s">
        <v>214</v>
      </c>
      <c r="S53" s="225"/>
      <c r="T53" s="280"/>
      <c r="U53" s="224"/>
      <c r="V53" s="226">
        <f>V50/(1-T51)</f>
        <v>0.7637</v>
      </c>
      <c r="W53" s="281">
        <f>V53*C10/V63</f>
        <v>0.535</v>
      </c>
      <c r="Y53" s="32"/>
    </row>
    <row r="54" spans="1:23" ht="12.75">
      <c r="A54" s="239"/>
      <c r="B54" s="259"/>
      <c r="C54" s="276"/>
      <c r="D54" s="190"/>
      <c r="E54" s="195" t="s">
        <v>106</v>
      </c>
      <c r="F54" s="248" t="s">
        <v>217</v>
      </c>
      <c r="G54" s="152"/>
      <c r="H54" s="201"/>
      <c r="I54" s="220"/>
      <c r="J54" s="219">
        <f>SUM(J50:J52)</f>
        <v>617.47</v>
      </c>
      <c r="K54" s="214"/>
      <c r="L54" s="123"/>
      <c r="M54" s="282"/>
      <c r="N54" s="232"/>
      <c r="O54" s="232"/>
      <c r="P54" s="232"/>
      <c r="Q54" s="232"/>
      <c r="R54" s="232"/>
      <c r="S54" s="232"/>
      <c r="T54" s="232"/>
      <c r="U54" s="232"/>
      <c r="V54" s="232"/>
      <c r="W54" s="142"/>
    </row>
    <row r="55" spans="1:23" ht="12.75">
      <c r="A55" s="239"/>
      <c r="B55" s="259"/>
      <c r="C55" s="202">
        <v>0</v>
      </c>
      <c r="D55" s="177" t="s">
        <v>10</v>
      </c>
      <c r="E55" s="195" t="s">
        <v>107</v>
      </c>
      <c r="F55" s="248" t="s">
        <v>97</v>
      </c>
      <c r="G55" s="264"/>
      <c r="H55" s="201">
        <f>(C55/100)</f>
        <v>0</v>
      </c>
      <c r="I55" s="249">
        <f>J54</f>
        <v>617.47</v>
      </c>
      <c r="J55" s="219">
        <f>(+J54*H55)</f>
        <v>0</v>
      </c>
      <c r="K55" s="214">
        <f>J55/V63</f>
        <v>0</v>
      </c>
      <c r="L55" s="123"/>
      <c r="M55" s="239"/>
      <c r="N55" s="152"/>
      <c r="O55" s="152"/>
      <c r="P55" s="152"/>
      <c r="Q55" s="152"/>
      <c r="R55" s="152"/>
      <c r="S55" s="152"/>
      <c r="T55" s="152"/>
      <c r="U55" s="152"/>
      <c r="V55" s="152"/>
      <c r="W55" s="142"/>
    </row>
    <row r="56" spans="1:23" ht="13.5" thickBot="1">
      <c r="A56" s="239"/>
      <c r="B56" s="259"/>
      <c r="C56" s="202" t="s">
        <v>94</v>
      </c>
      <c r="D56" s="190"/>
      <c r="E56" s="190"/>
      <c r="F56" s="198"/>
      <c r="G56" s="152"/>
      <c r="H56" s="201"/>
      <c r="I56" s="202"/>
      <c r="J56" s="219"/>
      <c r="K56" s="275"/>
      <c r="L56" s="123"/>
      <c r="M56" s="239"/>
      <c r="N56" s="152"/>
      <c r="O56" s="152"/>
      <c r="P56" s="152"/>
      <c r="Q56" s="152"/>
      <c r="R56" s="152"/>
      <c r="S56" s="152"/>
      <c r="T56" s="152"/>
      <c r="U56" s="152"/>
      <c r="V56" s="152"/>
      <c r="W56" s="142"/>
    </row>
    <row r="57" spans="1:23" ht="20.25">
      <c r="A57" s="239"/>
      <c r="B57" s="259"/>
      <c r="C57" s="202" t="s">
        <v>94</v>
      </c>
      <c r="D57" s="190"/>
      <c r="E57" s="195" t="s">
        <v>108</v>
      </c>
      <c r="F57" s="248" t="s">
        <v>218</v>
      </c>
      <c r="G57" s="152"/>
      <c r="H57" s="201"/>
      <c r="I57" s="220"/>
      <c r="J57" s="219">
        <f>SUM(J54:J55)</f>
        <v>617.47</v>
      </c>
      <c r="K57" s="275"/>
      <c r="L57" s="123"/>
      <c r="M57" s="239"/>
      <c r="N57" s="152"/>
      <c r="O57" s="152"/>
      <c r="P57" s="152"/>
      <c r="Q57" s="283" t="s">
        <v>110</v>
      </c>
      <c r="R57" s="284"/>
      <c r="S57" s="284"/>
      <c r="T57" s="284"/>
      <c r="U57" s="284"/>
      <c r="V57" s="284"/>
      <c r="W57" s="142"/>
    </row>
    <row r="58" spans="1:23" ht="13.5" thickBot="1">
      <c r="A58" s="239"/>
      <c r="B58" s="259"/>
      <c r="C58" s="34">
        <v>9</v>
      </c>
      <c r="D58" s="177" t="s">
        <v>10</v>
      </c>
      <c r="E58" s="195" t="s">
        <v>109</v>
      </c>
      <c r="F58" s="248" t="s">
        <v>220</v>
      </c>
      <c r="G58" s="264"/>
      <c r="H58" s="201">
        <f>(C58/100)</f>
        <v>0.09</v>
      </c>
      <c r="I58" s="249">
        <f>J57</f>
        <v>617.47</v>
      </c>
      <c r="J58" s="219">
        <f>(+J57*H58)</f>
        <v>55.57</v>
      </c>
      <c r="K58" s="214">
        <f>J58/V63</f>
        <v>0.0354</v>
      </c>
      <c r="L58" s="123"/>
      <c r="M58" s="239"/>
      <c r="N58" s="152"/>
      <c r="O58" s="152"/>
      <c r="P58" s="152"/>
      <c r="Q58" s="285"/>
      <c r="R58" s="286"/>
      <c r="S58" s="286"/>
      <c r="T58" s="286"/>
      <c r="U58" s="286"/>
      <c r="V58" s="286"/>
      <c r="W58" s="142"/>
    </row>
    <row r="59" spans="1:23" ht="13.5" thickBot="1">
      <c r="A59" s="239"/>
      <c r="B59" s="259"/>
      <c r="C59" s="202" t="s">
        <v>94</v>
      </c>
      <c r="D59" s="190"/>
      <c r="E59" s="190"/>
      <c r="F59" s="198"/>
      <c r="G59" s="152"/>
      <c r="H59" s="201"/>
      <c r="I59" s="220"/>
      <c r="J59" s="219"/>
      <c r="K59" s="275"/>
      <c r="L59" s="123"/>
      <c r="M59" s="239"/>
      <c r="N59" s="152"/>
      <c r="O59" s="152"/>
      <c r="P59" s="152"/>
      <c r="Q59" s="346" t="s">
        <v>215</v>
      </c>
      <c r="R59" s="287" t="s">
        <v>113</v>
      </c>
      <c r="S59" s="288"/>
      <c r="T59" s="288"/>
      <c r="U59" s="288"/>
      <c r="V59" s="289">
        <f>C10*V53</f>
        <v>840.07</v>
      </c>
      <c r="W59" s="290">
        <f>V59/V63</f>
        <v>0.535</v>
      </c>
    </row>
    <row r="60" spans="1:23" ht="13.5" thickBot="1">
      <c r="A60" s="239"/>
      <c r="B60" s="259"/>
      <c r="C60" s="202" t="s">
        <v>94</v>
      </c>
      <c r="D60" s="190"/>
      <c r="E60" s="195" t="s">
        <v>111</v>
      </c>
      <c r="F60" s="248" t="s">
        <v>115</v>
      </c>
      <c r="G60" s="152"/>
      <c r="H60" s="201"/>
      <c r="I60" s="220"/>
      <c r="J60" s="219">
        <f>SUM(J57:J58)</f>
        <v>673.04</v>
      </c>
      <c r="K60" s="275"/>
      <c r="L60" s="123"/>
      <c r="M60" s="239"/>
      <c r="N60" s="152"/>
      <c r="O60" s="152"/>
      <c r="P60" s="152"/>
      <c r="Q60" s="291" t="s">
        <v>112</v>
      </c>
      <c r="R60" s="196" t="s">
        <v>117</v>
      </c>
      <c r="S60" s="152"/>
      <c r="T60" s="152"/>
      <c r="U60" s="196"/>
      <c r="V60" s="166">
        <f>J63</f>
        <v>730.06</v>
      </c>
      <c r="W60" s="290">
        <f>V60/V63</f>
        <v>0.465</v>
      </c>
    </row>
    <row r="61" spans="1:23" ht="19.5" thickBot="1">
      <c r="A61" s="239"/>
      <c r="B61" s="259"/>
      <c r="C61" s="35">
        <f>(15%*C58)+(9%*C58)+3.65+2</f>
        <v>7.81</v>
      </c>
      <c r="D61" s="177" t="s">
        <v>10</v>
      </c>
      <c r="E61" s="195" t="s">
        <v>118</v>
      </c>
      <c r="F61" s="248" t="s">
        <v>105</v>
      </c>
      <c r="G61" s="264"/>
      <c r="H61" s="201">
        <f>(C61/100)</f>
        <v>0.0781</v>
      </c>
      <c r="I61" s="220"/>
      <c r="J61" s="219">
        <f>(+J63*H61)</f>
        <v>57.02</v>
      </c>
      <c r="K61" s="214">
        <f>J61/V63</f>
        <v>0.0363</v>
      </c>
      <c r="L61" s="123"/>
      <c r="M61" s="239"/>
      <c r="N61" s="152"/>
      <c r="O61" s="152"/>
      <c r="P61" s="152"/>
      <c r="Q61" s="347" t="s">
        <v>116</v>
      </c>
      <c r="R61" s="348" t="s">
        <v>221</v>
      </c>
      <c r="S61" s="310"/>
      <c r="T61" s="310"/>
      <c r="U61" s="348"/>
      <c r="V61" s="349">
        <f>V63/F8</f>
        <v>0.51</v>
      </c>
      <c r="W61" s="328"/>
    </row>
    <row r="62" spans="1:23" ht="13.5" thickBot="1">
      <c r="A62" s="239"/>
      <c r="B62" s="259"/>
      <c r="C62" s="202" t="s">
        <v>94</v>
      </c>
      <c r="D62" s="190"/>
      <c r="E62" s="190"/>
      <c r="F62" s="198"/>
      <c r="G62" s="152"/>
      <c r="H62" s="220"/>
      <c r="I62" s="220"/>
      <c r="J62" s="219"/>
      <c r="K62" s="275"/>
      <c r="L62" s="123"/>
      <c r="M62" s="239"/>
      <c r="N62" s="152"/>
      <c r="O62" s="152"/>
      <c r="P62" s="152"/>
      <c r="Q62" s="239"/>
      <c r="R62" s="152"/>
      <c r="S62" s="152"/>
      <c r="T62" s="152"/>
      <c r="U62" s="152"/>
      <c r="V62" s="197"/>
      <c r="W62" s="293"/>
    </row>
    <row r="63" spans="1:23" ht="13.5" thickBot="1">
      <c r="A63" s="294"/>
      <c r="B63" s="295"/>
      <c r="C63" s="296" t="s">
        <v>94</v>
      </c>
      <c r="D63" s="297"/>
      <c r="E63" s="298" t="s">
        <v>114</v>
      </c>
      <c r="F63" s="299" t="s">
        <v>219</v>
      </c>
      <c r="G63" s="300"/>
      <c r="H63" s="300"/>
      <c r="I63" s="300"/>
      <c r="J63" s="301">
        <f>J60/(1-H61)</f>
        <v>730.06</v>
      </c>
      <c r="K63" s="302">
        <f>J63/V63</f>
        <v>0.465</v>
      </c>
      <c r="L63" s="123"/>
      <c r="M63" s="294"/>
      <c r="N63" s="303"/>
      <c r="O63" s="303"/>
      <c r="P63" s="303"/>
      <c r="Q63" s="304" t="s">
        <v>119</v>
      </c>
      <c r="R63" s="305" t="s">
        <v>216</v>
      </c>
      <c r="S63" s="306"/>
      <c r="T63" s="306"/>
      <c r="U63" s="305"/>
      <c r="V63" s="307">
        <f>V59+J63</f>
        <v>1570.13</v>
      </c>
      <c r="W63" s="308">
        <f>SUM(W59:W62)</f>
        <v>1</v>
      </c>
    </row>
    <row r="65" ht="15.75">
      <c r="A65" s="24" t="s">
        <v>120</v>
      </c>
    </row>
    <row r="67" spans="1:19" ht="15.75">
      <c r="A67" s="24" t="s">
        <v>234</v>
      </c>
      <c r="G67" s="13"/>
      <c r="M67" s="11"/>
      <c r="S67" s="13"/>
    </row>
    <row r="68" spans="7:19" ht="15">
      <c r="G68" s="11"/>
      <c r="H68" s="11"/>
      <c r="I68" s="11"/>
      <c r="S68" s="11"/>
    </row>
    <row r="69" spans="3:19" ht="15">
      <c r="C69" s="55"/>
      <c r="G69" s="11"/>
      <c r="H69" s="11"/>
      <c r="I69" s="11"/>
      <c r="S69" s="11"/>
    </row>
    <row r="71" spans="1:10" ht="12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95" ht="2.25" customHeight="1"/>
    <row r="96" ht="12.75" customHeight="1"/>
    <row r="97" ht="0.75" customHeight="1"/>
    <row r="122" spans="12:15" ht="12.75">
      <c r="L122" s="37"/>
      <c r="M122" s="38"/>
      <c r="N122" s="37"/>
      <c r="O122" s="38"/>
    </row>
    <row r="123" spans="12:15" ht="12.75">
      <c r="L123" s="37"/>
      <c r="M123" s="37"/>
      <c r="N123" s="37"/>
      <c r="O123" s="39"/>
    </row>
    <row r="124" spans="12:15" ht="12.75">
      <c r="L124" s="37"/>
      <c r="M124" s="37"/>
      <c r="N124" s="37"/>
      <c r="O124" s="39"/>
    </row>
    <row r="125" spans="12:15" ht="12.75">
      <c r="L125" s="37"/>
      <c r="M125" s="37"/>
      <c r="N125" s="37"/>
      <c r="O125" s="39"/>
    </row>
    <row r="126" spans="12:15" ht="12.75">
      <c r="L126" s="2"/>
      <c r="M126" s="2"/>
      <c r="N126" s="2"/>
      <c r="O126" s="40"/>
    </row>
    <row r="127" spans="1:11" ht="12.75">
      <c r="A127" s="37"/>
      <c r="B127" s="37"/>
      <c r="C127" s="37"/>
      <c r="D127" s="37"/>
      <c r="E127" s="41"/>
      <c r="F127" s="41"/>
      <c r="G127" s="41"/>
      <c r="H127" s="41"/>
      <c r="I127" s="41"/>
      <c r="J127" s="41"/>
      <c r="K127" s="41"/>
    </row>
    <row r="128" spans="1:12" ht="12.75">
      <c r="A128" s="37"/>
      <c r="B128" s="37"/>
      <c r="C128" s="37"/>
      <c r="D128" s="37"/>
      <c r="E128" s="37"/>
      <c r="F128" s="37"/>
      <c r="G128" s="37"/>
      <c r="H128" s="37"/>
      <c r="I128" s="37"/>
      <c r="J128" s="42"/>
      <c r="K128" s="42"/>
      <c r="L128" s="32"/>
    </row>
    <row r="129" spans="1:1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2" ht="12.75">
      <c r="A133" s="2"/>
      <c r="B133" s="2"/>
      <c r="C133" s="2"/>
      <c r="D133" s="2"/>
      <c r="E133" s="43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44"/>
      <c r="F134" s="44"/>
      <c r="G134" s="44"/>
      <c r="H134" s="44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5"/>
      <c r="C139" s="2"/>
      <c r="D139" s="40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5"/>
      <c r="C142" s="2"/>
      <c r="D142" s="40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6"/>
      <c r="C145" s="4"/>
      <c r="D145" s="45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4"/>
    </row>
    <row r="149" spans="1:12" ht="12">
      <c r="A149" s="4"/>
      <c r="B149" s="4"/>
      <c r="C149" s="6"/>
      <c r="D149" s="4"/>
      <c r="E149" s="4"/>
      <c r="F149" s="4"/>
      <c r="G149" s="46"/>
      <c r="H149" s="46"/>
      <c r="L149" s="4"/>
    </row>
    <row r="150" spans="1:12" ht="12">
      <c r="A150" s="7"/>
      <c r="B150" s="7"/>
      <c r="C150" s="7"/>
      <c r="D150" s="7"/>
      <c r="E150" s="7"/>
      <c r="F150" s="7"/>
      <c r="G150" s="7"/>
      <c r="H150" s="7"/>
      <c r="L150" s="4"/>
    </row>
    <row r="151" spans="1:12" ht="12">
      <c r="A151" s="4"/>
      <c r="B151" s="4"/>
      <c r="C151" s="4"/>
      <c r="D151" s="4"/>
      <c r="E151" s="4"/>
      <c r="F151" s="4"/>
      <c r="G151" s="4"/>
      <c r="H151" s="4"/>
      <c r="L151" s="4"/>
    </row>
    <row r="152" spans="1:12" ht="12">
      <c r="A152" s="4"/>
      <c r="B152" s="4"/>
      <c r="C152" s="4"/>
      <c r="D152" s="4"/>
      <c r="E152" s="4"/>
      <c r="F152" s="4"/>
      <c r="G152" s="4"/>
      <c r="H152" s="4"/>
      <c r="L152" s="4"/>
    </row>
    <row r="153" spans="2:12" ht="12">
      <c r="B153" s="47"/>
      <c r="C153" s="48"/>
      <c r="G153" s="49"/>
      <c r="H153" s="48"/>
      <c r="L153" s="4"/>
    </row>
    <row r="154" spans="7:12" ht="12">
      <c r="G154" s="50"/>
      <c r="L154" s="4"/>
    </row>
    <row r="155" spans="7:12" ht="12">
      <c r="G155" s="50"/>
      <c r="L155" s="4"/>
    </row>
    <row r="156" spans="2:12" ht="12">
      <c r="B156" s="47"/>
      <c r="C156" s="48"/>
      <c r="G156" s="49"/>
      <c r="H156" s="48"/>
      <c r="L156" s="4"/>
    </row>
    <row r="157" spans="7:12" ht="12">
      <c r="G157" s="15"/>
      <c r="L157" s="4"/>
    </row>
    <row r="158" spans="7:12" ht="12">
      <c r="G158" s="15"/>
      <c r="L158" s="4"/>
    </row>
    <row r="159" spans="2:12" ht="12">
      <c r="B159" s="3"/>
      <c r="C159" s="51"/>
      <c r="G159" s="49"/>
      <c r="H159" s="48"/>
      <c r="L159" s="4"/>
    </row>
    <row r="160" spans="7:12" ht="12">
      <c r="G160" s="15"/>
      <c r="L160" s="4"/>
    </row>
    <row r="161" spans="7:12" ht="12">
      <c r="G161" s="15"/>
      <c r="L161" s="4"/>
    </row>
    <row r="162" spans="2:12" ht="12">
      <c r="B162" s="3"/>
      <c r="C162" s="52"/>
      <c r="G162" s="49"/>
      <c r="H162" s="53"/>
      <c r="L162" s="4"/>
    </row>
    <row r="163" spans="10:12" ht="12">
      <c r="J163" s="4"/>
      <c r="K163" s="4"/>
      <c r="L163" s="4"/>
    </row>
    <row r="164" spans="1:12" ht="12">
      <c r="A164" s="54"/>
      <c r="B164" s="54"/>
      <c r="C164" s="54"/>
      <c r="D164" s="54"/>
      <c r="E164" s="54"/>
      <c r="F164" s="54"/>
      <c r="G164" s="54"/>
      <c r="H164" s="54"/>
      <c r="I164" s="54"/>
      <c r="J164" s="7"/>
      <c r="K164" s="7"/>
      <c r="L164" s="4"/>
    </row>
    <row r="165" spans="10:12" ht="12">
      <c r="J165" s="4"/>
      <c r="K165" s="4"/>
      <c r="L165" s="4"/>
    </row>
    <row r="166" spans="2:12" ht="12">
      <c r="B166" s="47"/>
      <c r="D166" s="53"/>
      <c r="J166" s="4"/>
      <c r="K166" s="4"/>
      <c r="L166" s="4"/>
    </row>
    <row r="167" spans="10:12" ht="12">
      <c r="J167" s="4"/>
      <c r="K167" s="4"/>
      <c r="L167" s="4"/>
    </row>
    <row r="168" spans="1:12" ht="12">
      <c r="A168" s="54"/>
      <c r="B168" s="54"/>
      <c r="C168" s="54"/>
      <c r="D168" s="54"/>
      <c r="E168" s="54"/>
      <c r="F168" s="54"/>
      <c r="G168" s="54"/>
      <c r="H168" s="54"/>
      <c r="I168" s="54"/>
      <c r="J168" s="7"/>
      <c r="K168" s="7"/>
      <c r="L168" s="4"/>
    </row>
    <row r="169" spans="1:12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</sheetData>
  <sheetProtection/>
  <mergeCells count="7">
    <mergeCell ref="F48:G48"/>
    <mergeCell ref="A1:K1"/>
    <mergeCell ref="M1:W1"/>
    <mergeCell ref="A5:J5"/>
    <mergeCell ref="B11:C11"/>
    <mergeCell ref="R11:S11"/>
    <mergeCell ref="R40:S40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29">
      <selection activeCell="A59" sqref="A59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26.25390625" style="1" customWidth="1"/>
    <col min="8" max="8" width="13.125" style="1" customWidth="1"/>
    <col min="9" max="9" width="13.00390625" style="1" customWidth="1"/>
    <col min="10" max="10" width="12.375" style="1" customWidth="1"/>
    <col min="11" max="11" width="8.1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351" t="s">
        <v>144</v>
      </c>
      <c r="B1" s="352"/>
      <c r="C1" s="352"/>
      <c r="D1" s="352"/>
      <c r="E1" s="352"/>
      <c r="F1" s="352"/>
      <c r="G1" s="352"/>
      <c r="H1" s="352"/>
      <c r="I1" s="352"/>
      <c r="J1" s="353"/>
      <c r="K1" s="354"/>
    </row>
    <row r="2" spans="1:11" ht="20.25">
      <c r="A2" s="124" t="s">
        <v>139</v>
      </c>
      <c r="B2" s="125"/>
      <c r="C2" s="126"/>
      <c r="D2" s="125"/>
      <c r="E2" s="125"/>
      <c r="F2" s="125"/>
      <c r="G2" s="127"/>
      <c r="H2" s="125"/>
      <c r="I2" s="125"/>
      <c r="J2" s="125"/>
      <c r="K2" s="128"/>
    </row>
    <row r="3" spans="1:11" ht="20.25">
      <c r="A3" s="133" t="s">
        <v>140</v>
      </c>
      <c r="B3" s="134"/>
      <c r="C3" s="134"/>
      <c r="D3" s="134"/>
      <c r="E3" s="135"/>
      <c r="F3" s="134"/>
      <c r="G3" s="134"/>
      <c r="H3" s="134"/>
      <c r="I3" s="134"/>
      <c r="J3" s="134"/>
      <c r="K3" s="136" t="s">
        <v>10</v>
      </c>
    </row>
    <row r="4" spans="1:11" ht="1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20.25">
      <c r="A5" s="387" t="s">
        <v>12</v>
      </c>
      <c r="B5" s="388"/>
      <c r="C5" s="388"/>
      <c r="D5" s="388"/>
      <c r="E5" s="388"/>
      <c r="F5" s="388"/>
      <c r="G5" s="388"/>
      <c r="H5" s="388"/>
      <c r="I5" s="388"/>
      <c r="J5" s="389"/>
      <c r="K5" s="147"/>
    </row>
    <row r="6" spans="1:11" ht="12.75">
      <c r="A6" s="143" t="s">
        <v>145</v>
      </c>
      <c r="B6" s="144"/>
      <c r="C6" s="144"/>
      <c r="D6" s="144"/>
      <c r="E6" s="153"/>
      <c r="F6" s="144"/>
      <c r="G6" s="144"/>
      <c r="H6" s="144"/>
      <c r="I6" s="144"/>
      <c r="J6" s="145"/>
      <c r="K6" s="154"/>
    </row>
    <row r="7" spans="1:11" ht="12.75">
      <c r="A7" s="148"/>
      <c r="B7" s="149"/>
      <c r="C7" s="149"/>
      <c r="D7" s="149"/>
      <c r="E7" s="149"/>
      <c r="F7" s="149"/>
      <c r="G7" s="149"/>
      <c r="H7" s="149"/>
      <c r="I7" s="149"/>
      <c r="J7" s="152"/>
      <c r="K7" s="156"/>
    </row>
    <row r="8" spans="1:11" ht="15.75">
      <c r="A8" s="148" t="s">
        <v>16</v>
      </c>
      <c r="B8" s="150" t="s">
        <v>17</v>
      </c>
      <c r="C8" s="149"/>
      <c r="D8" s="149"/>
      <c r="E8" s="149"/>
      <c r="F8" s="149"/>
      <c r="G8" s="149"/>
      <c r="H8" s="149"/>
      <c r="I8" s="159"/>
      <c r="J8" s="152"/>
      <c r="K8" s="156"/>
    </row>
    <row r="9" spans="1:11" ht="12.75">
      <c r="A9" s="140"/>
      <c r="B9" s="141"/>
      <c r="C9" s="141"/>
      <c r="D9" s="141"/>
      <c r="E9" s="141"/>
      <c r="F9" s="141"/>
      <c r="G9" s="141"/>
      <c r="H9" s="149"/>
      <c r="I9" s="159"/>
      <c r="J9" s="152"/>
      <c r="K9" s="156"/>
    </row>
    <row r="10" spans="1:11" ht="12.75">
      <c r="A10" s="148"/>
      <c r="B10" s="292"/>
      <c r="C10" s="169"/>
      <c r="D10" s="149"/>
      <c r="E10" s="292"/>
      <c r="F10" s="292"/>
      <c r="G10" s="152"/>
      <c r="H10" s="152"/>
      <c r="I10" s="152"/>
      <c r="J10" s="152"/>
      <c r="K10" s="156"/>
    </row>
    <row r="11" spans="1:11" ht="12.75">
      <c r="A11" s="160" t="s">
        <v>21</v>
      </c>
      <c r="B11" s="175">
        <v>0.333333333333333</v>
      </c>
      <c r="C11" s="162" t="s">
        <v>14</v>
      </c>
      <c r="D11" s="175">
        <v>0.75</v>
      </c>
      <c r="E11" s="163" t="s">
        <v>15</v>
      </c>
      <c r="F11" s="164"/>
      <c r="G11" s="165"/>
      <c r="H11" s="165"/>
      <c r="I11" s="165"/>
      <c r="J11" s="165"/>
      <c r="K11" s="156"/>
    </row>
    <row r="12" spans="1:11" ht="12.75">
      <c r="A12" s="179"/>
      <c r="B12" s="180"/>
      <c r="C12" s="180"/>
      <c r="D12" s="180"/>
      <c r="E12" s="180"/>
      <c r="F12" s="180"/>
      <c r="G12" s="180"/>
      <c r="H12" s="180"/>
      <c r="I12" s="173" t="s">
        <v>20</v>
      </c>
      <c r="J12" s="181"/>
      <c r="K12" s="182"/>
    </row>
    <row r="13" spans="1:11" ht="12.75">
      <c r="A13" s="176" t="s">
        <v>31</v>
      </c>
      <c r="B13" s="177" t="s">
        <v>23</v>
      </c>
      <c r="C13" s="177" t="s">
        <v>32</v>
      </c>
      <c r="D13" s="177" t="s">
        <v>23</v>
      </c>
      <c r="E13" s="177" t="s">
        <v>22</v>
      </c>
      <c r="F13" s="177" t="s">
        <v>25</v>
      </c>
      <c r="G13" s="177" t="s">
        <v>26</v>
      </c>
      <c r="H13" s="177" t="s">
        <v>27</v>
      </c>
      <c r="I13" s="177" t="s">
        <v>28</v>
      </c>
      <c r="J13" s="178" t="s">
        <v>29</v>
      </c>
      <c r="K13" s="189"/>
    </row>
    <row r="14" spans="1:11" ht="12.75">
      <c r="A14" s="191"/>
      <c r="B14" s="192"/>
      <c r="C14" s="192"/>
      <c r="D14" s="192"/>
      <c r="E14" s="192"/>
      <c r="F14" s="192"/>
      <c r="G14" s="192"/>
      <c r="H14" s="192"/>
      <c r="I14" s="186" t="s">
        <v>30</v>
      </c>
      <c r="J14" s="193"/>
      <c r="K14" s="182"/>
    </row>
    <row r="15" spans="1:11" ht="12.75">
      <c r="A15" s="239"/>
      <c r="B15" s="171"/>
      <c r="C15" s="171"/>
      <c r="D15" s="152"/>
      <c r="E15" s="171"/>
      <c r="F15" s="152"/>
      <c r="G15" s="171"/>
      <c r="H15" s="152"/>
      <c r="I15" s="171"/>
      <c r="J15" s="152"/>
      <c r="K15" s="156"/>
    </row>
    <row r="16" spans="1:11" ht="12.75">
      <c r="A16" s="239"/>
      <c r="B16" s="190"/>
      <c r="C16" s="190"/>
      <c r="D16" s="152"/>
      <c r="E16" s="190"/>
      <c r="F16" s="196" t="s">
        <v>35</v>
      </c>
      <c r="G16" s="177" t="s">
        <v>36</v>
      </c>
      <c r="H16" s="152"/>
      <c r="I16" s="190"/>
      <c r="J16" s="152"/>
      <c r="K16" s="156"/>
    </row>
    <row r="17" spans="1:11" ht="12.75">
      <c r="A17" s="239"/>
      <c r="B17" s="190"/>
      <c r="C17" s="190"/>
      <c r="D17" s="152"/>
      <c r="E17" s="190"/>
      <c r="F17" s="152"/>
      <c r="G17" s="190"/>
      <c r="H17" s="152"/>
      <c r="I17" s="190"/>
      <c r="J17" s="152"/>
      <c r="K17" s="156"/>
    </row>
    <row r="18" spans="1:11" ht="12.75">
      <c r="A18" s="355"/>
      <c r="B18" s="190"/>
      <c r="C18" s="202"/>
      <c r="D18" s="152"/>
      <c r="E18" s="216">
        <v>1</v>
      </c>
      <c r="F18" s="155" t="s">
        <v>45</v>
      </c>
      <c r="G18" s="210" t="s">
        <v>141</v>
      </c>
      <c r="H18" s="356">
        <f>E18</f>
        <v>1</v>
      </c>
      <c r="I18" s="238">
        <v>1292</v>
      </c>
      <c r="J18" s="357">
        <f>(H18*I18)</f>
        <v>1292</v>
      </c>
      <c r="K18" s="214">
        <f aca="true" t="shared" si="0" ref="K18:K27">J18/J$53</f>
        <v>0.194</v>
      </c>
    </row>
    <row r="19" spans="1:11" ht="12.75">
      <c r="A19" s="358"/>
      <c r="B19" s="190"/>
      <c r="C19" s="202"/>
      <c r="D19" s="152"/>
      <c r="E19" s="216">
        <v>1</v>
      </c>
      <c r="F19" s="155" t="s">
        <v>56</v>
      </c>
      <c r="G19" s="210" t="s">
        <v>142</v>
      </c>
      <c r="H19" s="356">
        <f>E19</f>
        <v>1</v>
      </c>
      <c r="I19" s="238">
        <v>942.73</v>
      </c>
      <c r="J19" s="357">
        <f>(H19*I19)</f>
        <v>942.73</v>
      </c>
      <c r="K19" s="214">
        <f t="shared" si="0"/>
        <v>0.1416</v>
      </c>
    </row>
    <row r="20" spans="1:11" ht="12.75">
      <c r="A20" s="358">
        <v>40</v>
      </c>
      <c r="B20" s="177" t="s">
        <v>121</v>
      </c>
      <c r="C20" s="200">
        <v>220</v>
      </c>
      <c r="D20" s="167" t="s">
        <v>122</v>
      </c>
      <c r="E20" s="216">
        <f>E19</f>
        <v>1</v>
      </c>
      <c r="F20" s="155" t="s">
        <v>65</v>
      </c>
      <c r="G20" s="210" t="s">
        <v>143</v>
      </c>
      <c r="H20" s="356">
        <f>A20/100</f>
        <v>0.4</v>
      </c>
      <c r="I20" s="212">
        <v>880</v>
      </c>
      <c r="J20" s="357">
        <f>(I20*H20)*E20*A22</f>
        <v>352</v>
      </c>
      <c r="K20" s="214">
        <f t="shared" si="0"/>
        <v>0.0529</v>
      </c>
    </row>
    <row r="21" spans="1:11" ht="12.75">
      <c r="A21" s="377">
        <v>82.26</v>
      </c>
      <c r="B21" s="177" t="s">
        <v>123</v>
      </c>
      <c r="C21" s="200" t="s">
        <v>94</v>
      </c>
      <c r="D21" s="196" t="s">
        <v>40</v>
      </c>
      <c r="E21" s="177" t="s">
        <v>44</v>
      </c>
      <c r="F21" s="155" t="s">
        <v>69</v>
      </c>
      <c r="G21" s="195" t="s">
        <v>124</v>
      </c>
      <c r="H21" s="359">
        <f>A21/100</f>
        <v>0.823</v>
      </c>
      <c r="I21" s="202">
        <f>SUM(J18:J20)</f>
        <v>2586.73</v>
      </c>
      <c r="J21" s="360">
        <f>(I21*H21)</f>
        <v>2128.88</v>
      </c>
      <c r="K21" s="214">
        <f t="shared" si="0"/>
        <v>0.3197</v>
      </c>
    </row>
    <row r="22" spans="1:11" ht="12.75">
      <c r="A22" s="358">
        <v>1</v>
      </c>
      <c r="B22" s="177" t="s">
        <v>125</v>
      </c>
      <c r="C22" s="200">
        <v>1</v>
      </c>
      <c r="D22" s="167" t="s">
        <v>43</v>
      </c>
      <c r="E22" s="200">
        <f>E18+E19</f>
        <v>2</v>
      </c>
      <c r="F22" s="155" t="s">
        <v>72</v>
      </c>
      <c r="G22" s="195" t="s">
        <v>126</v>
      </c>
      <c r="H22" s="359">
        <f aca="true" t="shared" si="1" ref="H22:H27">E22</f>
        <v>2</v>
      </c>
      <c r="I22" s="212">
        <v>121.84</v>
      </c>
      <c r="J22" s="360">
        <f>(+I22*H22)*A22/C22</f>
        <v>243.68</v>
      </c>
      <c r="K22" s="214">
        <f t="shared" si="0"/>
        <v>0.0366</v>
      </c>
    </row>
    <row r="23" spans="1:11" ht="12.75">
      <c r="A23" s="358">
        <v>2</v>
      </c>
      <c r="B23" s="177" t="s">
        <v>127</v>
      </c>
      <c r="C23" s="200">
        <v>6</v>
      </c>
      <c r="D23" s="167" t="s">
        <v>43</v>
      </c>
      <c r="E23" s="200">
        <f>E22</f>
        <v>2</v>
      </c>
      <c r="F23" s="155" t="s">
        <v>75</v>
      </c>
      <c r="G23" s="195" t="s">
        <v>129</v>
      </c>
      <c r="H23" s="359">
        <f t="shared" si="1"/>
        <v>2</v>
      </c>
      <c r="I23" s="209">
        <v>120</v>
      </c>
      <c r="J23" s="360">
        <f>(I23*H23*A23)/C23</f>
        <v>80</v>
      </c>
      <c r="K23" s="214">
        <f t="shared" si="0"/>
        <v>0.012</v>
      </c>
    </row>
    <row r="24" spans="1:11" ht="12.75">
      <c r="A24" s="358">
        <v>1</v>
      </c>
      <c r="B24" s="177" t="s">
        <v>127</v>
      </c>
      <c r="C24" s="200">
        <v>1</v>
      </c>
      <c r="D24" s="167" t="s">
        <v>43</v>
      </c>
      <c r="E24" s="200">
        <f>E22</f>
        <v>2</v>
      </c>
      <c r="F24" s="155" t="s">
        <v>80</v>
      </c>
      <c r="G24" s="195" t="s">
        <v>132</v>
      </c>
      <c r="H24" s="359">
        <f t="shared" si="1"/>
        <v>2</v>
      </c>
      <c r="I24" s="209">
        <v>16</v>
      </c>
      <c r="J24" s="360">
        <f>(+I24*H24)*A24*C24</f>
        <v>32</v>
      </c>
      <c r="K24" s="214">
        <f t="shared" si="0"/>
        <v>0.0048</v>
      </c>
    </row>
    <row r="25" spans="1:11" ht="12.75">
      <c r="A25" s="217">
        <v>44</v>
      </c>
      <c r="B25" s="177" t="s">
        <v>127</v>
      </c>
      <c r="C25" s="200">
        <v>1</v>
      </c>
      <c r="D25" s="177" t="s">
        <v>43</v>
      </c>
      <c r="E25" s="200">
        <f>E22</f>
        <v>2</v>
      </c>
      <c r="F25" s="195" t="s">
        <v>87</v>
      </c>
      <c r="G25" s="195" t="s">
        <v>135</v>
      </c>
      <c r="H25" s="234">
        <f t="shared" si="1"/>
        <v>2</v>
      </c>
      <c r="I25" s="212">
        <v>2.4</v>
      </c>
      <c r="J25" s="219">
        <f>(I25*H25*A25)</f>
        <v>211.2</v>
      </c>
      <c r="K25" s="214">
        <f t="shared" si="0"/>
        <v>0.0317</v>
      </c>
    </row>
    <row r="26" spans="1:11" ht="12.75">
      <c r="A26" s="217">
        <v>1</v>
      </c>
      <c r="B26" s="177" t="s">
        <v>127</v>
      </c>
      <c r="C26" s="200">
        <v>1</v>
      </c>
      <c r="D26" s="177" t="s">
        <v>43</v>
      </c>
      <c r="E26" s="200">
        <f>E22</f>
        <v>2</v>
      </c>
      <c r="F26" s="195" t="s">
        <v>128</v>
      </c>
      <c r="G26" s="195" t="s">
        <v>136</v>
      </c>
      <c r="H26" s="234">
        <f t="shared" si="1"/>
        <v>2</v>
      </c>
      <c r="I26" s="212">
        <f>I21</f>
        <v>2586.73</v>
      </c>
      <c r="J26" s="219">
        <f>(I26*0.06)*-1</f>
        <v>-155.2</v>
      </c>
      <c r="K26" s="214">
        <f t="shared" si="0"/>
        <v>-0.0233</v>
      </c>
    </row>
    <row r="27" spans="1:11" ht="12.75">
      <c r="A27" s="217">
        <v>2</v>
      </c>
      <c r="B27" s="177" t="s">
        <v>127</v>
      </c>
      <c r="C27" s="200">
        <v>6</v>
      </c>
      <c r="D27" s="177" t="s">
        <v>43</v>
      </c>
      <c r="E27" s="200">
        <f>E26</f>
        <v>2</v>
      </c>
      <c r="F27" s="195" t="s">
        <v>130</v>
      </c>
      <c r="G27" s="195" t="s">
        <v>134</v>
      </c>
      <c r="H27" s="234">
        <f t="shared" si="1"/>
        <v>2</v>
      </c>
      <c r="I27" s="209">
        <v>45</v>
      </c>
      <c r="J27" s="219">
        <f>(I27*H27*A27)/C27</f>
        <v>30</v>
      </c>
      <c r="K27" s="214">
        <f t="shared" si="0"/>
        <v>0.0045</v>
      </c>
    </row>
    <row r="28" spans="1:11" ht="12.75">
      <c r="A28" s="358"/>
      <c r="B28" s="177"/>
      <c r="C28" s="202"/>
      <c r="D28" s="167"/>
      <c r="E28" s="200"/>
      <c r="F28" s="361"/>
      <c r="G28" s="248"/>
      <c r="H28" s="359"/>
      <c r="I28" s="359"/>
      <c r="J28" s="362"/>
      <c r="K28" s="214"/>
    </row>
    <row r="29" spans="1:11" ht="12.75">
      <c r="A29" s="215"/>
      <c r="B29" s="190"/>
      <c r="C29" s="202"/>
      <c r="D29" s="190"/>
      <c r="E29" s="190"/>
      <c r="F29" s="210" t="s">
        <v>131</v>
      </c>
      <c r="G29" s="198" t="s">
        <v>224</v>
      </c>
      <c r="H29" s="363"/>
      <c r="I29" s="166"/>
      <c r="J29" s="360">
        <f>SUM(J18:J28)</f>
        <v>5157.29</v>
      </c>
      <c r="K29" s="214"/>
    </row>
    <row r="30" spans="1:11" ht="12.75">
      <c r="A30" s="215"/>
      <c r="B30" s="190"/>
      <c r="C30" s="202"/>
      <c r="D30" s="190"/>
      <c r="E30" s="243"/>
      <c r="F30" s="210"/>
      <c r="G30" s="364"/>
      <c r="H30" s="365"/>
      <c r="I30" s="366"/>
      <c r="J30" s="367"/>
      <c r="K30" s="214"/>
    </row>
    <row r="31" spans="1:11" ht="12.75">
      <c r="A31" s="247">
        <v>3.5</v>
      </c>
      <c r="B31" s="208" t="s">
        <v>123</v>
      </c>
      <c r="C31" s="202"/>
      <c r="D31" s="177"/>
      <c r="E31" s="243"/>
      <c r="F31" s="210" t="s">
        <v>229</v>
      </c>
      <c r="G31" s="248" t="s">
        <v>225</v>
      </c>
      <c r="H31" s="229">
        <f>A31/100</f>
        <v>0.035</v>
      </c>
      <c r="I31" s="249">
        <f>J29</f>
        <v>5157.29</v>
      </c>
      <c r="J31" s="213">
        <f>H31*I31</f>
        <v>180.51</v>
      </c>
      <c r="K31" s="214">
        <f>J31/J$53</f>
        <v>0.0271</v>
      </c>
    </row>
    <row r="32" spans="1:11" ht="12.75">
      <c r="A32" s="358"/>
      <c r="B32" s="177"/>
      <c r="C32" s="202"/>
      <c r="D32" s="167"/>
      <c r="E32" s="200"/>
      <c r="F32" s="361"/>
      <c r="G32" s="248"/>
      <c r="H32" s="359"/>
      <c r="I32" s="357"/>
      <c r="J32" s="360"/>
      <c r="K32" s="368"/>
    </row>
    <row r="33" spans="1:11" ht="12.75">
      <c r="A33" s="277"/>
      <c r="B33" s="184"/>
      <c r="C33" s="186"/>
      <c r="D33" s="165"/>
      <c r="E33" s="184"/>
      <c r="F33" s="369" t="s">
        <v>133</v>
      </c>
      <c r="G33" s="222" t="s">
        <v>230</v>
      </c>
      <c r="H33" s="262"/>
      <c r="I33" s="262"/>
      <c r="J33" s="263">
        <f>SUM(J29:J32)</f>
        <v>5337.8</v>
      </c>
      <c r="K33" s="368">
        <f>J33/J$53</f>
        <v>0.8017</v>
      </c>
    </row>
    <row r="34" spans="1:11" ht="12.75">
      <c r="A34" s="239"/>
      <c r="B34" s="152"/>
      <c r="C34" s="152"/>
      <c r="D34" s="152"/>
      <c r="E34" s="152"/>
      <c r="F34" s="196"/>
      <c r="G34" s="196"/>
      <c r="H34" s="196"/>
      <c r="I34" s="196"/>
      <c r="J34" s="166"/>
      <c r="K34" s="265"/>
    </row>
    <row r="35" spans="1:11" ht="20.25">
      <c r="A35" s="266" t="s">
        <v>91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31"/>
    </row>
    <row r="36" spans="1:11" ht="20.25">
      <c r="A36" s="239"/>
      <c r="B36" s="152"/>
      <c r="C36" s="152"/>
      <c r="D36" s="152"/>
      <c r="E36" s="152"/>
      <c r="F36" s="152"/>
      <c r="G36" s="197"/>
      <c r="H36" s="152"/>
      <c r="I36" s="152"/>
      <c r="J36" s="152"/>
      <c r="K36" s="136"/>
    </row>
    <row r="37" spans="1:11" ht="12.75">
      <c r="A37" s="257"/>
      <c r="B37" s="172"/>
      <c r="C37" s="171"/>
      <c r="D37" s="171"/>
      <c r="E37" s="171"/>
      <c r="F37" s="269"/>
      <c r="G37" s="270"/>
      <c r="H37" s="180"/>
      <c r="I37" s="173" t="s">
        <v>20</v>
      </c>
      <c r="J37" s="174"/>
      <c r="K37" s="156"/>
    </row>
    <row r="38" spans="1:11" ht="12.75">
      <c r="A38" s="239"/>
      <c r="B38" s="259"/>
      <c r="C38" s="177" t="s">
        <v>31</v>
      </c>
      <c r="D38" s="177" t="s">
        <v>23</v>
      </c>
      <c r="E38" s="177" t="s">
        <v>25</v>
      </c>
      <c r="F38" s="379" t="s">
        <v>26</v>
      </c>
      <c r="G38" s="380"/>
      <c r="H38" s="177" t="s">
        <v>27</v>
      </c>
      <c r="I38" s="177" t="s">
        <v>28</v>
      </c>
      <c r="J38" s="178" t="s">
        <v>29</v>
      </c>
      <c r="K38" s="156"/>
    </row>
    <row r="39" spans="1:11" ht="12.75">
      <c r="A39" s="239"/>
      <c r="B39" s="259"/>
      <c r="C39" s="184"/>
      <c r="D39" s="184"/>
      <c r="E39" s="184"/>
      <c r="F39" s="187"/>
      <c r="G39" s="165"/>
      <c r="H39" s="192"/>
      <c r="I39" s="186" t="s">
        <v>30</v>
      </c>
      <c r="J39" s="187"/>
      <c r="K39" s="271"/>
    </row>
    <row r="40" spans="1:11" ht="12.75">
      <c r="A40" s="239"/>
      <c r="B40" s="259"/>
      <c r="C40" s="190"/>
      <c r="D40" s="190"/>
      <c r="E40" s="195" t="s">
        <v>101</v>
      </c>
      <c r="F40" s="272" t="s">
        <v>137</v>
      </c>
      <c r="G40" s="145"/>
      <c r="H40" s="273"/>
      <c r="I40" s="202">
        <f>J33</f>
        <v>5337.8</v>
      </c>
      <c r="J40" s="274">
        <f>J33</f>
        <v>5337.8</v>
      </c>
      <c r="K40" s="156"/>
    </row>
    <row r="41" spans="1:11" ht="12.75">
      <c r="A41" s="239"/>
      <c r="B41" s="259"/>
      <c r="C41" s="202"/>
      <c r="D41" s="177"/>
      <c r="E41" s="195"/>
      <c r="F41" s="248"/>
      <c r="G41" s="264"/>
      <c r="H41" s="201"/>
      <c r="I41" s="220"/>
      <c r="J41" s="219"/>
      <c r="K41" s="214"/>
    </row>
    <row r="42" spans="1:11" ht="12.75">
      <c r="A42" s="239"/>
      <c r="B42" s="259"/>
      <c r="C42" s="34">
        <v>5.5</v>
      </c>
      <c r="D42" s="177" t="s">
        <v>10</v>
      </c>
      <c r="E42" s="195" t="s">
        <v>103</v>
      </c>
      <c r="F42" s="248" t="s">
        <v>93</v>
      </c>
      <c r="G42" s="264"/>
      <c r="H42" s="201">
        <f>(C42/100)</f>
        <v>0.055</v>
      </c>
      <c r="I42" s="220"/>
      <c r="J42" s="219">
        <f>(+J40*H42)</f>
        <v>293.58</v>
      </c>
      <c r="K42" s="214">
        <f>J42/J$53</f>
        <v>0.0441</v>
      </c>
    </row>
    <row r="43" spans="1:11" ht="12.75">
      <c r="A43" s="239"/>
      <c r="B43" s="259"/>
      <c r="C43" s="202" t="s">
        <v>94</v>
      </c>
      <c r="D43" s="190"/>
      <c r="E43" s="190"/>
      <c r="F43" s="198"/>
      <c r="G43" s="152"/>
      <c r="H43" s="201"/>
      <c r="I43" s="202"/>
      <c r="J43" s="219"/>
      <c r="K43" s="275"/>
    </row>
    <row r="44" spans="1:11" ht="12.75">
      <c r="A44" s="239"/>
      <c r="B44" s="259"/>
      <c r="C44" s="276"/>
      <c r="D44" s="190"/>
      <c r="E44" s="195" t="s">
        <v>106</v>
      </c>
      <c r="F44" s="248" t="s">
        <v>217</v>
      </c>
      <c r="G44" s="152"/>
      <c r="H44" s="201"/>
      <c r="I44" s="220"/>
      <c r="J44" s="219">
        <f>SUM(J40:J42)</f>
        <v>5631.38</v>
      </c>
      <c r="K44" s="214"/>
    </row>
    <row r="45" spans="1:11" ht="12.75">
      <c r="A45" s="239"/>
      <c r="B45" s="259"/>
      <c r="C45" s="202">
        <v>0</v>
      </c>
      <c r="D45" s="177" t="s">
        <v>10</v>
      </c>
      <c r="E45" s="195" t="s">
        <v>107</v>
      </c>
      <c r="F45" s="248" t="s">
        <v>97</v>
      </c>
      <c r="G45" s="264"/>
      <c r="H45" s="201">
        <f>(C45/100)</f>
        <v>0</v>
      </c>
      <c r="I45" s="249">
        <f>J44</f>
        <v>5631.38</v>
      </c>
      <c r="J45" s="219">
        <f>(+J44*H45)</f>
        <v>0</v>
      </c>
      <c r="K45" s="214">
        <f>J45/J$53</f>
        <v>0</v>
      </c>
    </row>
    <row r="46" spans="1:11" ht="12.75">
      <c r="A46" s="239"/>
      <c r="B46" s="259"/>
      <c r="C46" s="202" t="s">
        <v>94</v>
      </c>
      <c r="D46" s="190"/>
      <c r="E46" s="190"/>
      <c r="F46" s="198"/>
      <c r="G46" s="152"/>
      <c r="H46" s="201"/>
      <c r="I46" s="202"/>
      <c r="J46" s="219"/>
      <c r="K46" s="275"/>
    </row>
    <row r="47" spans="1:11" ht="12.75">
      <c r="A47" s="239"/>
      <c r="B47" s="259"/>
      <c r="C47" s="202" t="s">
        <v>94</v>
      </c>
      <c r="D47" s="190"/>
      <c r="E47" s="195" t="s">
        <v>108</v>
      </c>
      <c r="F47" s="248" t="s">
        <v>218</v>
      </c>
      <c r="G47" s="152"/>
      <c r="H47" s="201"/>
      <c r="I47" s="220"/>
      <c r="J47" s="219">
        <f>SUM(J44:J45)</f>
        <v>5631.38</v>
      </c>
      <c r="K47" s="275"/>
    </row>
    <row r="48" spans="1:11" ht="12.75">
      <c r="A48" s="239"/>
      <c r="B48" s="259"/>
      <c r="C48" s="34">
        <v>9</v>
      </c>
      <c r="D48" s="177" t="s">
        <v>10</v>
      </c>
      <c r="E48" s="195" t="s">
        <v>109</v>
      </c>
      <c r="F48" s="248" t="s">
        <v>220</v>
      </c>
      <c r="G48" s="264"/>
      <c r="H48" s="201">
        <f>(C48/100)</f>
        <v>0.09</v>
      </c>
      <c r="I48" s="249">
        <f>J47</f>
        <v>5631.38</v>
      </c>
      <c r="J48" s="219">
        <f>(+J47*H48)</f>
        <v>506.82</v>
      </c>
      <c r="K48" s="214">
        <f>J48/J$53</f>
        <v>0.0761</v>
      </c>
    </row>
    <row r="49" spans="1:11" ht="12.75">
      <c r="A49" s="239"/>
      <c r="B49" s="259"/>
      <c r="C49" s="202" t="s">
        <v>94</v>
      </c>
      <c r="D49" s="190"/>
      <c r="E49" s="190"/>
      <c r="F49" s="198"/>
      <c r="G49" s="152"/>
      <c r="H49" s="201"/>
      <c r="I49" s="220"/>
      <c r="J49" s="219"/>
      <c r="K49" s="275"/>
    </row>
    <row r="50" spans="1:11" ht="12.75">
      <c r="A50" s="239"/>
      <c r="B50" s="259"/>
      <c r="C50" s="202" t="s">
        <v>94</v>
      </c>
      <c r="D50" s="190"/>
      <c r="E50" s="195" t="s">
        <v>111</v>
      </c>
      <c r="F50" s="248" t="s">
        <v>115</v>
      </c>
      <c r="G50" s="152"/>
      <c r="H50" s="201"/>
      <c r="I50" s="220"/>
      <c r="J50" s="219">
        <f>SUM(J47:J48)</f>
        <v>6138.2</v>
      </c>
      <c r="K50" s="275"/>
    </row>
    <row r="51" spans="1:11" ht="12.75">
      <c r="A51" s="239"/>
      <c r="B51" s="259"/>
      <c r="C51" s="35">
        <f>(15%*C48)+(9%*C48)+3.65+2</f>
        <v>7.81</v>
      </c>
      <c r="D51" s="177" t="s">
        <v>10</v>
      </c>
      <c r="E51" s="195" t="s">
        <v>118</v>
      </c>
      <c r="F51" s="248" t="s">
        <v>105</v>
      </c>
      <c r="G51" s="264"/>
      <c r="H51" s="201">
        <f>(C51/100)</f>
        <v>0.0781</v>
      </c>
      <c r="I51" s="220"/>
      <c r="J51" s="219">
        <f>(+J53*H51)</f>
        <v>520.01</v>
      </c>
      <c r="K51" s="214">
        <f>J51/J$53</f>
        <v>0.0781</v>
      </c>
    </row>
    <row r="52" spans="1:11" ht="12.75">
      <c r="A52" s="239"/>
      <c r="B52" s="259"/>
      <c r="C52" s="202" t="s">
        <v>94</v>
      </c>
      <c r="D52" s="190"/>
      <c r="E52" s="190"/>
      <c r="F52" s="198"/>
      <c r="G52" s="152"/>
      <c r="H52" s="220"/>
      <c r="I52" s="220"/>
      <c r="J52" s="219"/>
      <c r="K52" s="275"/>
    </row>
    <row r="53" spans="1:11" ht="13.5" thickBot="1">
      <c r="A53" s="294"/>
      <c r="B53" s="295"/>
      <c r="C53" s="296" t="s">
        <v>94</v>
      </c>
      <c r="D53" s="297"/>
      <c r="E53" s="298" t="s">
        <v>114</v>
      </c>
      <c r="F53" s="299" t="s">
        <v>219</v>
      </c>
      <c r="G53" s="300"/>
      <c r="H53" s="300"/>
      <c r="I53" s="300"/>
      <c r="J53" s="301">
        <f>J50/(1-H51)</f>
        <v>6658.21</v>
      </c>
      <c r="K53" s="302">
        <f>J53/J$53</f>
        <v>1</v>
      </c>
    </row>
    <row r="54" spans="1:11" ht="19.5" thickBot="1">
      <c r="A54" s="370" t="s">
        <v>222</v>
      </c>
      <c r="B54" s="371" t="s">
        <v>223</v>
      </c>
      <c r="C54" s="372"/>
      <c r="D54" s="372"/>
      <c r="E54" s="373"/>
      <c r="F54" s="374"/>
      <c r="G54" s="375"/>
      <c r="H54" s="375"/>
      <c r="I54" s="375"/>
      <c r="J54" s="376">
        <f>J53/'[1]Pick Up Fiorino Coleta Hospital'!$F$8</f>
        <v>2.16</v>
      </c>
      <c r="K54" s="111"/>
    </row>
    <row r="56" ht="15.75">
      <c r="A56" s="24" t="s">
        <v>120</v>
      </c>
    </row>
    <row r="58" spans="1:9" ht="15.75">
      <c r="A58" s="24" t="str">
        <f>'Pick Up Fiorino Coleta Hospital'!A67</f>
        <v>Patos de Minas-MG, 31 de outubro de 2016</v>
      </c>
      <c r="G58" s="13"/>
      <c r="H58" s="11"/>
      <c r="I58" s="11"/>
    </row>
    <row r="59" spans="5:9" ht="15">
      <c r="E59" s="109"/>
      <c r="G59" s="11"/>
      <c r="H59" s="11"/>
      <c r="I59" s="11"/>
    </row>
    <row r="65" spans="1:10" ht="12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89" ht="2.25" customHeight="1"/>
    <row r="90" ht="12.75" customHeight="1"/>
    <row r="91" ht="0.75" customHeight="1"/>
    <row r="116" ht="12.75">
      <c r="L116" s="37"/>
    </row>
    <row r="117" ht="12.75">
      <c r="L117" s="37"/>
    </row>
    <row r="118" ht="12.75">
      <c r="L118" s="37"/>
    </row>
    <row r="119" ht="12.75">
      <c r="L119" s="37"/>
    </row>
    <row r="120" ht="12.75">
      <c r="L120" s="2"/>
    </row>
    <row r="121" spans="1:11" ht="12.75">
      <c r="A121" s="37"/>
      <c r="B121" s="37"/>
      <c r="C121" s="37"/>
      <c r="D121" s="37"/>
      <c r="E121" s="41"/>
      <c r="F121" s="41"/>
      <c r="G121" s="41"/>
      <c r="H121" s="41"/>
      <c r="I121" s="41"/>
      <c r="J121" s="41"/>
      <c r="K121" s="41"/>
    </row>
    <row r="122" spans="1:12" ht="12.75">
      <c r="A122" s="37"/>
      <c r="B122" s="37"/>
      <c r="C122" s="37"/>
      <c r="D122" s="37"/>
      <c r="E122" s="37"/>
      <c r="F122" s="37"/>
      <c r="G122" s="37"/>
      <c r="H122" s="37"/>
      <c r="I122" s="37"/>
      <c r="J122" s="42"/>
      <c r="K122" s="42"/>
      <c r="L122" s="32"/>
    </row>
    <row r="123" spans="1:11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2" ht="12.75">
      <c r="A127" s="2"/>
      <c r="B127" s="2"/>
      <c r="C127" s="2"/>
      <c r="D127" s="2"/>
      <c r="E127" s="43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44"/>
      <c r="F128" s="44"/>
      <c r="G128" s="44"/>
      <c r="H128" s="44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5"/>
      <c r="C133" s="2"/>
      <c r="D133" s="40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5"/>
      <c r="C136" s="2"/>
      <c r="D136" s="40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">
      <c r="A139" s="4"/>
      <c r="B139" s="6"/>
      <c r="C139" s="4"/>
      <c r="D139" s="45"/>
      <c r="E139" s="4"/>
      <c r="F139" s="4"/>
      <c r="G139" s="4"/>
      <c r="H139" s="4"/>
      <c r="I139" s="4"/>
      <c r="J139" s="4"/>
      <c r="K139" s="4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4"/>
    </row>
    <row r="143" spans="1:12" ht="12">
      <c r="A143" s="4"/>
      <c r="B143" s="4"/>
      <c r="C143" s="6"/>
      <c r="D143" s="4"/>
      <c r="E143" s="4"/>
      <c r="F143" s="4"/>
      <c r="G143" s="46"/>
      <c r="H143" s="46"/>
      <c r="L143" s="4"/>
    </row>
    <row r="144" spans="1:12" ht="12">
      <c r="A144" s="7"/>
      <c r="B144" s="7"/>
      <c r="C144" s="7"/>
      <c r="D144" s="7"/>
      <c r="E144" s="7"/>
      <c r="F144" s="7"/>
      <c r="G144" s="7"/>
      <c r="H144" s="7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L146" s="4"/>
    </row>
    <row r="147" spans="2:12" ht="12">
      <c r="B147" s="47"/>
      <c r="C147" s="48"/>
      <c r="G147" s="49"/>
      <c r="H147" s="48"/>
      <c r="L147" s="4"/>
    </row>
    <row r="148" spans="7:12" ht="12">
      <c r="G148" s="50"/>
      <c r="L148" s="4"/>
    </row>
    <row r="149" spans="7:12" ht="12">
      <c r="G149" s="50"/>
      <c r="L149" s="4"/>
    </row>
    <row r="150" spans="2:12" ht="12">
      <c r="B150" s="47"/>
      <c r="C150" s="48"/>
      <c r="G150" s="49"/>
      <c r="H150" s="48"/>
      <c r="L150" s="4"/>
    </row>
    <row r="151" spans="7:12" ht="12">
      <c r="G151" s="15"/>
      <c r="L151" s="4"/>
    </row>
    <row r="152" spans="7:12" ht="12">
      <c r="G152" s="15"/>
      <c r="L152" s="4"/>
    </row>
    <row r="153" spans="2:12" ht="12">
      <c r="B153" s="3"/>
      <c r="C153" s="51"/>
      <c r="G153" s="49"/>
      <c r="H153" s="48"/>
      <c r="L153" s="4"/>
    </row>
    <row r="154" spans="7:12" ht="12">
      <c r="G154" s="15"/>
      <c r="L154" s="4"/>
    </row>
    <row r="155" spans="7:12" ht="12">
      <c r="G155" s="15"/>
      <c r="L155" s="4"/>
    </row>
    <row r="156" spans="2:12" ht="12">
      <c r="B156" s="3"/>
      <c r="C156" s="52"/>
      <c r="G156" s="49"/>
      <c r="H156" s="53"/>
      <c r="L156" s="4"/>
    </row>
    <row r="157" spans="10:12" ht="12">
      <c r="J157" s="4"/>
      <c r="K157" s="4"/>
      <c r="L157" s="4"/>
    </row>
    <row r="158" spans="1:12" ht="12">
      <c r="A158" s="54"/>
      <c r="B158" s="54"/>
      <c r="C158" s="54"/>
      <c r="D158" s="54"/>
      <c r="E158" s="54"/>
      <c r="F158" s="54"/>
      <c r="G158" s="54"/>
      <c r="H158" s="54"/>
      <c r="I158" s="54"/>
      <c r="J158" s="7"/>
      <c r="K158" s="7"/>
      <c r="L158" s="4"/>
    </row>
    <row r="159" spans="10:12" ht="12">
      <c r="J159" s="4"/>
      <c r="K159" s="4"/>
      <c r="L159" s="4"/>
    </row>
    <row r="160" spans="2:12" ht="12">
      <c r="B160" s="47"/>
      <c r="D160" s="53"/>
      <c r="J160" s="4"/>
      <c r="K160" s="4"/>
      <c r="L160" s="4"/>
    </row>
    <row r="161" spans="10:12" ht="12">
      <c r="J161" s="4"/>
      <c r="K161" s="4"/>
      <c r="L161" s="4"/>
    </row>
    <row r="162" spans="1:12" ht="12">
      <c r="A162" s="54"/>
      <c r="B162" s="54"/>
      <c r="C162" s="54"/>
      <c r="D162" s="54"/>
      <c r="E162" s="54"/>
      <c r="F162" s="54"/>
      <c r="G162" s="54"/>
      <c r="H162" s="54"/>
      <c r="I162" s="54"/>
      <c r="J162" s="7"/>
      <c r="K162" s="7"/>
      <c r="L162" s="4"/>
    </row>
    <row r="163" spans="1:12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</sheetData>
  <sheetProtection/>
  <mergeCells count="2">
    <mergeCell ref="A5:J5"/>
    <mergeCell ref="F38:G38"/>
  </mergeCells>
  <printOptions horizontalCentered="1" verticalCentered="1"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1">
      <selection activeCell="A51" sqref="A51"/>
    </sheetView>
  </sheetViews>
  <sheetFormatPr defaultColWidth="9.00390625" defaultRowHeight="12.75"/>
  <cols>
    <col min="1" max="16384" width="9.00390625" style="60" customWidth="1"/>
  </cols>
  <sheetData>
    <row r="1" spans="1:9" ht="12.75">
      <c r="A1" s="56" t="s">
        <v>153</v>
      </c>
      <c r="B1" s="57"/>
      <c r="C1" s="57"/>
      <c r="D1" s="58"/>
      <c r="E1" s="58"/>
      <c r="F1" s="58"/>
      <c r="G1" s="58"/>
      <c r="H1" s="58"/>
      <c r="I1" s="59"/>
    </row>
    <row r="2" spans="1:9" ht="11.25">
      <c r="A2" s="61"/>
      <c r="B2" s="62" t="s">
        <v>154</v>
      </c>
      <c r="C2" s="63"/>
      <c r="D2" s="63"/>
      <c r="E2" s="63"/>
      <c r="F2" s="63"/>
      <c r="G2" s="63"/>
      <c r="H2" s="63"/>
      <c r="I2" s="64"/>
    </row>
    <row r="3" spans="1:9" ht="11.25">
      <c r="A3" s="65" t="s">
        <v>25</v>
      </c>
      <c r="B3" s="66"/>
      <c r="C3" s="67"/>
      <c r="D3" s="68"/>
      <c r="E3" s="69" t="s">
        <v>83</v>
      </c>
      <c r="F3" s="67"/>
      <c r="G3" s="67"/>
      <c r="H3" s="67"/>
      <c r="I3" s="70" t="s">
        <v>155</v>
      </c>
    </row>
    <row r="4" spans="1:9" ht="11.25">
      <c r="A4" s="71"/>
      <c r="B4" s="71"/>
      <c r="C4" s="71"/>
      <c r="D4" s="71"/>
      <c r="E4" s="71"/>
      <c r="F4" s="71"/>
      <c r="G4" s="71"/>
      <c r="H4" s="71"/>
      <c r="I4" s="71"/>
    </row>
    <row r="5" spans="1:9" ht="11.25">
      <c r="A5" s="72"/>
      <c r="B5" s="73" t="s">
        <v>156</v>
      </c>
      <c r="C5" s="74"/>
      <c r="D5" s="74"/>
      <c r="E5" s="74"/>
      <c r="F5" s="74"/>
      <c r="G5" s="74"/>
      <c r="H5" s="74"/>
      <c r="I5" s="75"/>
    </row>
    <row r="6" spans="1:9" ht="11.25">
      <c r="A6" s="76" t="s">
        <v>157</v>
      </c>
      <c r="B6" s="77" t="s">
        <v>158</v>
      </c>
      <c r="C6" s="78"/>
      <c r="D6" s="78"/>
      <c r="E6" s="78"/>
      <c r="F6" s="78"/>
      <c r="G6" s="78"/>
      <c r="H6" s="78"/>
      <c r="I6" s="79"/>
    </row>
    <row r="7" spans="1:9" ht="11.25">
      <c r="A7" s="76" t="s">
        <v>159</v>
      </c>
      <c r="B7" s="80" t="s">
        <v>160</v>
      </c>
      <c r="C7" s="81"/>
      <c r="D7" s="78"/>
      <c r="E7" s="78"/>
      <c r="F7" s="78"/>
      <c r="G7" s="78"/>
      <c r="H7" s="78"/>
      <c r="I7" s="79"/>
    </row>
    <row r="8" spans="1:9" ht="11.25">
      <c r="A8" s="76" t="s">
        <v>161</v>
      </c>
      <c r="B8" s="80" t="s">
        <v>162</v>
      </c>
      <c r="C8" s="81"/>
      <c r="D8" s="78"/>
      <c r="E8" s="78"/>
      <c r="F8" s="78"/>
      <c r="G8" s="78"/>
      <c r="H8" s="78"/>
      <c r="I8" s="79"/>
    </row>
    <row r="9" spans="1:9" ht="11.25">
      <c r="A9" s="76" t="s">
        <v>163</v>
      </c>
      <c r="B9" s="80" t="s">
        <v>164</v>
      </c>
      <c r="C9" s="81"/>
      <c r="D9" s="78"/>
      <c r="E9" s="78"/>
      <c r="F9" s="78"/>
      <c r="G9" s="78"/>
      <c r="H9" s="78"/>
      <c r="I9" s="79"/>
    </row>
    <row r="10" spans="1:9" ht="11.25">
      <c r="A10" s="76" t="s">
        <v>165</v>
      </c>
      <c r="B10" s="80" t="s">
        <v>166</v>
      </c>
      <c r="C10" s="81"/>
      <c r="D10" s="78"/>
      <c r="E10" s="78"/>
      <c r="F10" s="78"/>
      <c r="G10" s="78"/>
      <c r="H10" s="78"/>
      <c r="I10" s="79"/>
    </row>
    <row r="11" spans="1:9" ht="11.25">
      <c r="A11" s="76" t="s">
        <v>167</v>
      </c>
      <c r="B11" s="80" t="s">
        <v>168</v>
      </c>
      <c r="C11" s="81"/>
      <c r="D11" s="78"/>
      <c r="E11" s="78"/>
      <c r="F11" s="78"/>
      <c r="G11" s="78"/>
      <c r="H11" s="78"/>
      <c r="I11" s="79"/>
    </row>
    <row r="12" spans="1:9" ht="11.25">
      <c r="A12" s="76" t="s">
        <v>169</v>
      </c>
      <c r="B12" s="80" t="s">
        <v>170</v>
      </c>
      <c r="C12" s="81"/>
      <c r="D12" s="78"/>
      <c r="E12" s="78"/>
      <c r="F12" s="78"/>
      <c r="G12" s="78"/>
      <c r="H12" s="78"/>
      <c r="I12" s="79"/>
    </row>
    <row r="13" spans="1:9" ht="11.25">
      <c r="A13" s="76" t="s">
        <v>171</v>
      </c>
      <c r="B13" s="80" t="s">
        <v>172</v>
      </c>
      <c r="C13" s="81"/>
      <c r="D13" s="78"/>
      <c r="E13" s="78"/>
      <c r="F13" s="78"/>
      <c r="G13" s="78"/>
      <c r="H13" s="78"/>
      <c r="I13" s="79"/>
    </row>
    <row r="14" spans="1:9" ht="11.25">
      <c r="A14" s="76" t="s">
        <v>173</v>
      </c>
      <c r="B14" s="82" t="s">
        <v>174</v>
      </c>
      <c r="C14" s="81"/>
      <c r="D14" s="78"/>
      <c r="E14" s="78"/>
      <c r="F14" s="78"/>
      <c r="G14" s="78"/>
      <c r="H14" s="78"/>
      <c r="I14" s="83"/>
    </row>
    <row r="15" spans="1:9" ht="11.25">
      <c r="A15" s="84"/>
      <c r="B15" s="72" t="s">
        <v>175</v>
      </c>
      <c r="C15" s="74"/>
      <c r="D15" s="74"/>
      <c r="E15" s="74"/>
      <c r="F15" s="74"/>
      <c r="G15" s="74"/>
      <c r="H15" s="74"/>
      <c r="I15" s="85">
        <f>SUM(I6:I14)</f>
        <v>0</v>
      </c>
    </row>
    <row r="16" spans="1:9" ht="11.25">
      <c r="A16" s="71"/>
      <c r="B16" s="71"/>
      <c r="C16" s="86"/>
      <c r="D16" s="86"/>
      <c r="E16" s="71"/>
      <c r="F16" s="71"/>
      <c r="G16" s="87"/>
      <c r="H16" s="87"/>
      <c r="I16" s="88"/>
    </row>
    <row r="17" spans="1:9" ht="11.25">
      <c r="A17" s="89"/>
      <c r="B17" s="90" t="s">
        <v>176</v>
      </c>
      <c r="C17" s="91"/>
      <c r="D17" s="91"/>
      <c r="E17" s="91"/>
      <c r="F17" s="91"/>
      <c r="G17" s="91"/>
      <c r="H17" s="91"/>
      <c r="I17" s="92"/>
    </row>
    <row r="18" spans="1:9" ht="11.25">
      <c r="A18" s="93" t="s">
        <v>177</v>
      </c>
      <c r="B18" s="80" t="s">
        <v>178</v>
      </c>
      <c r="C18" s="81"/>
      <c r="D18" s="78"/>
      <c r="E18" s="78"/>
      <c r="F18" s="78"/>
      <c r="G18" s="78"/>
      <c r="H18" s="78"/>
      <c r="I18" s="83"/>
    </row>
    <row r="19" spans="1:9" ht="11.25">
      <c r="A19" s="93" t="s">
        <v>179</v>
      </c>
      <c r="B19" s="94" t="s">
        <v>180</v>
      </c>
      <c r="C19" s="81"/>
      <c r="D19" s="78"/>
      <c r="E19" s="78"/>
      <c r="F19" s="78"/>
      <c r="G19" s="78"/>
      <c r="H19" s="78"/>
      <c r="I19" s="83"/>
    </row>
    <row r="20" spans="1:9" ht="11.25">
      <c r="A20" s="93" t="s">
        <v>181</v>
      </c>
      <c r="B20" s="80" t="s">
        <v>182</v>
      </c>
      <c r="C20" s="81"/>
      <c r="D20" s="78"/>
      <c r="E20" s="78"/>
      <c r="F20" s="78"/>
      <c r="G20" s="78"/>
      <c r="H20" s="78"/>
      <c r="I20" s="83"/>
    </row>
    <row r="21" spans="1:9" ht="11.25">
      <c r="A21" s="93" t="s">
        <v>183</v>
      </c>
      <c r="B21" s="80" t="s">
        <v>184</v>
      </c>
      <c r="C21" s="81"/>
      <c r="D21" s="78"/>
      <c r="E21" s="78"/>
      <c r="F21" s="78"/>
      <c r="G21" s="78"/>
      <c r="H21" s="78"/>
      <c r="I21" s="83"/>
    </row>
    <row r="22" spans="1:9" ht="11.25">
      <c r="A22" s="93" t="s">
        <v>185</v>
      </c>
      <c r="B22" s="82" t="s">
        <v>186</v>
      </c>
      <c r="C22" s="81"/>
      <c r="D22" s="78"/>
      <c r="E22" s="78"/>
      <c r="F22" s="78"/>
      <c r="G22" s="78"/>
      <c r="H22" s="78"/>
      <c r="I22" s="83"/>
    </row>
    <row r="23" spans="1:9" ht="11.25">
      <c r="A23" s="93" t="s">
        <v>187</v>
      </c>
      <c r="B23" s="82" t="s">
        <v>188</v>
      </c>
      <c r="C23" s="81"/>
      <c r="D23" s="78"/>
      <c r="E23" s="78"/>
      <c r="F23" s="78"/>
      <c r="G23" s="78"/>
      <c r="H23" s="78"/>
      <c r="I23" s="83"/>
    </row>
    <row r="24" spans="1:9" ht="11.25">
      <c r="A24" s="93" t="s">
        <v>189</v>
      </c>
      <c r="B24" s="95" t="s">
        <v>190</v>
      </c>
      <c r="C24" s="81"/>
      <c r="D24" s="78"/>
      <c r="E24" s="78"/>
      <c r="F24" s="78"/>
      <c r="G24" s="78"/>
      <c r="H24" s="78"/>
      <c r="I24" s="83"/>
    </row>
    <row r="25" spans="1:9" ht="11.25">
      <c r="A25" s="84"/>
      <c r="B25" s="72" t="s">
        <v>191</v>
      </c>
      <c r="C25" s="74"/>
      <c r="D25" s="74"/>
      <c r="E25" s="74"/>
      <c r="F25" s="74"/>
      <c r="G25" s="74"/>
      <c r="H25" s="74"/>
      <c r="I25" s="85">
        <f>SUM(I18:I24)</f>
        <v>0</v>
      </c>
    </row>
    <row r="26" spans="1:9" ht="11.25">
      <c r="A26" s="81"/>
      <c r="B26" s="96"/>
      <c r="C26" s="97"/>
      <c r="D26" s="97"/>
      <c r="E26" s="96"/>
      <c r="F26" s="96"/>
      <c r="G26" s="98"/>
      <c r="H26" s="98"/>
      <c r="I26" s="98"/>
    </row>
    <row r="27" spans="1:9" ht="11.25">
      <c r="A27" s="84"/>
      <c r="B27" s="99" t="s">
        <v>192</v>
      </c>
      <c r="C27" s="74"/>
      <c r="D27" s="74"/>
      <c r="E27" s="74"/>
      <c r="F27" s="74"/>
      <c r="G27" s="74"/>
      <c r="H27" s="74"/>
      <c r="I27" s="75"/>
    </row>
    <row r="28" spans="1:9" ht="11.25">
      <c r="A28" s="76" t="s">
        <v>193</v>
      </c>
      <c r="B28" s="100" t="s">
        <v>194</v>
      </c>
      <c r="C28" s="78"/>
      <c r="D28" s="78"/>
      <c r="E28" s="78"/>
      <c r="F28" s="78"/>
      <c r="G28" s="78"/>
      <c r="H28" s="78"/>
      <c r="I28" s="79"/>
    </row>
    <row r="29" spans="1:9" ht="11.25">
      <c r="A29" s="76" t="s">
        <v>195</v>
      </c>
      <c r="B29" s="82" t="s">
        <v>196</v>
      </c>
      <c r="C29" s="81"/>
      <c r="D29" s="78"/>
      <c r="E29" s="78"/>
      <c r="F29" s="78"/>
      <c r="G29" s="78"/>
      <c r="H29" s="78"/>
      <c r="I29" s="83"/>
    </row>
    <row r="30" spans="1:9" ht="11.25">
      <c r="A30" s="76" t="s">
        <v>197</v>
      </c>
      <c r="B30" s="82" t="s">
        <v>198</v>
      </c>
      <c r="C30" s="81"/>
      <c r="D30" s="78"/>
      <c r="E30" s="78"/>
      <c r="F30" s="78"/>
      <c r="G30" s="78"/>
      <c r="H30" s="78"/>
      <c r="I30" s="83"/>
    </row>
    <row r="31" spans="1:9" ht="11.25">
      <c r="A31" s="76" t="s">
        <v>199</v>
      </c>
      <c r="B31" s="82" t="s">
        <v>200</v>
      </c>
      <c r="C31" s="81"/>
      <c r="D31" s="78"/>
      <c r="E31" s="78"/>
      <c r="F31" s="78"/>
      <c r="G31" s="78"/>
      <c r="H31" s="78"/>
      <c r="I31" s="83"/>
    </row>
    <row r="32" spans="1:9" ht="11.25">
      <c r="A32" s="82"/>
      <c r="B32" s="95"/>
      <c r="C32" s="81"/>
      <c r="D32" s="78"/>
      <c r="E32" s="78"/>
      <c r="F32" s="78"/>
      <c r="G32" s="78"/>
      <c r="H32" s="78"/>
      <c r="I32" s="83"/>
    </row>
    <row r="33" spans="1:9" ht="11.25">
      <c r="A33" s="84"/>
      <c r="B33" s="72" t="s">
        <v>201</v>
      </c>
      <c r="C33" s="74"/>
      <c r="D33" s="74"/>
      <c r="E33" s="74"/>
      <c r="F33" s="74"/>
      <c r="G33" s="74"/>
      <c r="H33" s="74"/>
      <c r="I33" s="85">
        <f>SUM(I28:I32)</f>
        <v>0</v>
      </c>
    </row>
    <row r="34" spans="1:9" ht="11.25">
      <c r="A34" s="84"/>
      <c r="B34" s="73" t="s">
        <v>202</v>
      </c>
      <c r="C34" s="74"/>
      <c r="D34" s="74"/>
      <c r="E34" s="74"/>
      <c r="F34" s="74"/>
      <c r="G34" s="74"/>
      <c r="H34" s="74"/>
      <c r="I34" s="75"/>
    </row>
    <row r="35" spans="1:9" ht="11.25">
      <c r="A35" s="76" t="s">
        <v>203</v>
      </c>
      <c r="B35" s="100" t="s">
        <v>204</v>
      </c>
      <c r="C35" s="78"/>
      <c r="D35" s="78"/>
      <c r="E35" s="78"/>
      <c r="F35" s="78"/>
      <c r="G35" s="78"/>
      <c r="H35" s="78"/>
      <c r="I35" s="83"/>
    </row>
    <row r="36" spans="1:9" ht="11.25">
      <c r="A36" s="82"/>
      <c r="B36" s="82"/>
      <c r="C36" s="81"/>
      <c r="D36" s="78"/>
      <c r="E36" s="78"/>
      <c r="F36" s="78"/>
      <c r="G36" s="78"/>
      <c r="H36" s="78"/>
      <c r="I36" s="83"/>
    </row>
    <row r="37" spans="1:9" ht="11.25">
      <c r="A37" s="82"/>
      <c r="B37" s="82"/>
      <c r="C37" s="81"/>
      <c r="D37" s="78"/>
      <c r="E37" s="78"/>
      <c r="F37" s="78"/>
      <c r="G37" s="78"/>
      <c r="H37" s="78"/>
      <c r="I37" s="83"/>
    </row>
    <row r="38" spans="1:9" ht="11.25">
      <c r="A38" s="82"/>
      <c r="B38" s="95"/>
      <c r="C38" s="81"/>
      <c r="D38" s="78"/>
      <c r="E38" s="78"/>
      <c r="F38" s="78"/>
      <c r="G38" s="78"/>
      <c r="H38" s="78"/>
      <c r="I38" s="83"/>
    </row>
    <row r="39" spans="1:9" ht="11.25">
      <c r="A39" s="84"/>
      <c r="B39" s="72" t="s">
        <v>205</v>
      </c>
      <c r="C39" s="74"/>
      <c r="D39" s="74"/>
      <c r="E39" s="74"/>
      <c r="F39" s="74"/>
      <c r="G39" s="74"/>
      <c r="H39" s="74"/>
      <c r="I39" s="85">
        <f>SUM(I35:I38)</f>
        <v>0</v>
      </c>
    </row>
    <row r="40" spans="1:9" ht="11.25">
      <c r="A40" s="84"/>
      <c r="B40" s="391" t="s">
        <v>206</v>
      </c>
      <c r="C40" s="391"/>
      <c r="D40" s="391"/>
      <c r="E40" s="391"/>
      <c r="F40" s="391"/>
      <c r="G40" s="391"/>
      <c r="H40" s="391"/>
      <c r="I40" s="75"/>
    </row>
    <row r="41" spans="1:9" ht="11.25">
      <c r="A41" s="76" t="s">
        <v>207</v>
      </c>
      <c r="B41" s="101" t="s">
        <v>208</v>
      </c>
      <c r="C41" s="78"/>
      <c r="D41" s="78"/>
      <c r="E41" s="78"/>
      <c r="F41" s="78"/>
      <c r="G41" s="78"/>
      <c r="H41" s="78"/>
      <c r="I41" s="83">
        <f>I15*I25</f>
        <v>0</v>
      </c>
    </row>
    <row r="42" spans="1:9" ht="11.25">
      <c r="A42" s="82"/>
      <c r="B42" s="82"/>
      <c r="C42" s="81"/>
      <c r="D42" s="78"/>
      <c r="E42" s="78"/>
      <c r="F42" s="78"/>
      <c r="G42" s="78"/>
      <c r="H42" s="78"/>
      <c r="I42" s="83"/>
    </row>
    <row r="43" spans="1:11" ht="11.25">
      <c r="A43" s="84"/>
      <c r="B43" s="72" t="s">
        <v>209</v>
      </c>
      <c r="C43" s="74"/>
      <c r="D43" s="74"/>
      <c r="E43" s="74"/>
      <c r="F43" s="74"/>
      <c r="G43" s="74"/>
      <c r="H43" s="74"/>
      <c r="I43" s="85">
        <f>SUM(I41:I42)</f>
        <v>0</v>
      </c>
      <c r="K43" s="102"/>
    </row>
    <row r="44" spans="1:9" ht="11.25">
      <c r="A44" s="96"/>
      <c r="B44" s="96"/>
      <c r="C44" s="97"/>
      <c r="D44" s="97"/>
      <c r="E44" s="96"/>
      <c r="F44" s="96"/>
      <c r="G44" s="98"/>
      <c r="H44" s="98"/>
      <c r="I44" s="98"/>
    </row>
    <row r="45" spans="1:9" ht="11.25">
      <c r="A45" s="103"/>
      <c r="B45" s="104"/>
      <c r="C45" s="104"/>
      <c r="D45" s="104"/>
      <c r="E45" s="104"/>
      <c r="F45" s="104"/>
      <c r="G45" s="104"/>
      <c r="H45" s="104"/>
      <c r="I45" s="105"/>
    </row>
    <row r="46" spans="1:9" ht="11.25">
      <c r="A46" s="61"/>
      <c r="B46" s="62" t="s">
        <v>210</v>
      </c>
      <c r="C46" s="63"/>
      <c r="D46" s="63"/>
      <c r="E46" s="63"/>
      <c r="F46" s="63"/>
      <c r="G46" s="63"/>
      <c r="H46" s="63"/>
      <c r="I46" s="106">
        <v>0.8226</v>
      </c>
    </row>
    <row r="47" spans="1:9" ht="11.25">
      <c r="A47" s="95"/>
      <c r="B47" s="96"/>
      <c r="C47" s="96"/>
      <c r="D47" s="107"/>
      <c r="E47" s="107"/>
      <c r="F47" s="107"/>
      <c r="G47" s="107"/>
      <c r="H47" s="107"/>
      <c r="I47" s="108"/>
    </row>
    <row r="50" ht="10.5">
      <c r="A50" s="60" t="e">
        <f>#REF!</f>
        <v>#REF!</v>
      </c>
    </row>
  </sheetData>
  <sheetProtection/>
  <mergeCells count="1">
    <mergeCell ref="B40:H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A19" sqref="A1:H19"/>
    </sheetView>
  </sheetViews>
  <sheetFormatPr defaultColWidth="11.00390625" defaultRowHeight="12.75"/>
  <cols>
    <col min="1" max="1" width="4.75390625" style="1" customWidth="1"/>
    <col min="2" max="2" width="60.625" style="1" customWidth="1"/>
    <col min="3" max="3" width="9.625" style="1" customWidth="1"/>
    <col min="4" max="4" width="15.625" style="1" customWidth="1"/>
    <col min="5" max="5" width="14.625" style="1" customWidth="1"/>
    <col min="6" max="6" width="15.625" style="1" customWidth="1"/>
    <col min="7" max="7" width="6.625" style="1" customWidth="1"/>
    <col min="8" max="8" width="25.75390625" style="1" customWidth="1"/>
    <col min="9" max="9" width="11.00390625" style="1" customWidth="1"/>
    <col min="10" max="11" width="18.125" style="1" bestFit="1" customWidth="1"/>
    <col min="12" max="12" width="20.375" style="1" customWidth="1"/>
    <col min="13" max="16384" width="11.00390625" style="1" customWidth="1"/>
  </cols>
  <sheetData>
    <row r="1" ht="12.75" thickBot="1"/>
    <row r="2" spans="2:8" ht="22.5" customHeight="1" thickBot="1">
      <c r="B2" s="402" t="s">
        <v>236</v>
      </c>
      <c r="C2" s="403"/>
      <c r="D2" s="403"/>
      <c r="E2" s="403"/>
      <c r="F2" s="403"/>
      <c r="G2" s="403"/>
      <c r="H2" s="404"/>
    </row>
    <row r="3" spans="2:8" ht="12.75">
      <c r="B3" s="14"/>
      <c r="C3" s="17"/>
      <c r="D3" s="33"/>
      <c r="E3" s="14"/>
      <c r="F3" s="17"/>
      <c r="G3" s="17"/>
      <c r="H3" s="14"/>
    </row>
    <row r="4" spans="2:8" ht="12.75">
      <c r="B4" s="12" t="s">
        <v>0</v>
      </c>
      <c r="C4" s="12" t="s">
        <v>5</v>
      </c>
      <c r="D4" s="31" t="s">
        <v>1</v>
      </c>
      <c r="E4" s="12" t="s">
        <v>138</v>
      </c>
      <c r="F4" s="16" t="s">
        <v>2</v>
      </c>
      <c r="G4" s="16" t="s">
        <v>233</v>
      </c>
      <c r="H4" s="12" t="s">
        <v>3</v>
      </c>
    </row>
    <row r="5" spans="2:8" ht="22.5">
      <c r="B5" s="405" t="s">
        <v>235</v>
      </c>
      <c r="C5" s="406"/>
      <c r="D5" s="406"/>
      <c r="E5" s="406"/>
      <c r="F5" s="406"/>
      <c r="G5" s="406"/>
      <c r="H5" s="407"/>
    </row>
    <row r="6" spans="2:8" ht="15.75">
      <c r="B6" s="392" t="s">
        <v>239</v>
      </c>
      <c r="C6" s="393"/>
      <c r="D6" s="393"/>
      <c r="E6" s="393"/>
      <c r="F6" s="393"/>
      <c r="G6" s="393"/>
      <c r="H6" s="408"/>
    </row>
    <row r="7" spans="2:8" ht="15.75">
      <c r="B7" s="18" t="s">
        <v>0</v>
      </c>
      <c r="C7" s="20" t="s">
        <v>5</v>
      </c>
      <c r="D7" s="392" t="s">
        <v>4</v>
      </c>
      <c r="E7" s="393"/>
      <c r="F7" s="408"/>
      <c r="G7" s="18" t="s">
        <v>233</v>
      </c>
      <c r="H7" s="19"/>
    </row>
    <row r="8" spans="2:8" ht="12.75">
      <c r="B8" s="115" t="s">
        <v>6</v>
      </c>
      <c r="C8" s="117">
        <f>'[1]Pick Up Fiorino Coleta Hospital'!$F$8</f>
        <v>3080</v>
      </c>
      <c r="D8" s="400">
        <f>'Pick Up Fiorino Coleta Hospital'!V61</f>
        <v>0.51</v>
      </c>
      <c r="E8" s="401"/>
      <c r="F8" s="401"/>
      <c r="G8" s="28">
        <v>3</v>
      </c>
      <c r="H8" s="118">
        <f>C8*D8*G8</f>
        <v>4712.4</v>
      </c>
    </row>
    <row r="9" spans="2:8" ht="12.75">
      <c r="B9" s="116" t="s">
        <v>240</v>
      </c>
      <c r="C9" s="314">
        <f>C8</f>
        <v>3080</v>
      </c>
      <c r="D9" s="409">
        <v>2.9</v>
      </c>
      <c r="E9" s="410"/>
      <c r="F9" s="410"/>
      <c r="G9" s="27">
        <v>3</v>
      </c>
      <c r="H9" s="114">
        <f>C9*D9*G9</f>
        <v>26796</v>
      </c>
    </row>
    <row r="10" spans="2:8" ht="15.75">
      <c r="B10" s="392" t="s">
        <v>7</v>
      </c>
      <c r="C10" s="393"/>
      <c r="D10" s="393"/>
      <c r="E10" s="393"/>
      <c r="F10" s="393"/>
      <c r="G10" s="25"/>
      <c r="H10" s="21">
        <f>SUM(H6:H9)</f>
        <v>31508.4</v>
      </c>
    </row>
    <row r="11" spans="2:8" ht="12.75">
      <c r="B11" s="119" t="s">
        <v>8</v>
      </c>
      <c r="C11" s="120">
        <f>C9</f>
        <v>3080</v>
      </c>
      <c r="D11" s="397">
        <f>'Mâo-de-obra Coleta Hospitalar'!J54</f>
        <v>2.16</v>
      </c>
      <c r="E11" s="398"/>
      <c r="F11" s="399"/>
      <c r="G11" s="29">
        <f>G8</f>
        <v>3</v>
      </c>
      <c r="H11" s="121">
        <f>C11*D11*G11</f>
        <v>19958.4</v>
      </c>
    </row>
    <row r="12" spans="2:10" ht="22.5">
      <c r="B12" s="113" t="s">
        <v>237</v>
      </c>
      <c r="C12" s="23">
        <f>C11</f>
        <v>3080</v>
      </c>
      <c r="D12" s="394">
        <f>D8+D9+D11</f>
        <v>5.57</v>
      </c>
      <c r="E12" s="395"/>
      <c r="F12" s="396"/>
      <c r="G12" s="30">
        <f>G8</f>
        <v>3</v>
      </c>
      <c r="H12" s="110">
        <f>C12*D12*G12</f>
        <v>51466.8</v>
      </c>
      <c r="J12" s="15"/>
    </row>
    <row r="13" ht="17.25" customHeight="1">
      <c r="B13" s="24"/>
    </row>
    <row r="14" spans="2:7" ht="17.25" customHeight="1">
      <c r="B14" s="24" t="s">
        <v>232</v>
      </c>
      <c r="C14" s="11"/>
      <c r="D14" s="11"/>
      <c r="E14" s="11"/>
      <c r="F14" s="11"/>
      <c r="G14" s="11"/>
    </row>
    <row r="15" spans="3:8" ht="12.75">
      <c r="C15" s="2"/>
      <c r="D15" s="2"/>
      <c r="E15" s="2"/>
      <c r="F15" s="2"/>
      <c r="G15" s="2"/>
      <c r="H15" s="2"/>
    </row>
    <row r="16" spans="2:8" ht="15.75">
      <c r="B16" s="24" t="str">
        <f>'Pick Up Fiorino Coleta Hospital'!A67</f>
        <v>Patos de Minas-MG, 31 de outubro de 2016</v>
      </c>
      <c r="C16" s="13"/>
      <c r="D16" s="13"/>
      <c r="E16" s="13"/>
      <c r="F16" s="13"/>
      <c r="G16" s="13"/>
      <c r="H16" s="22"/>
    </row>
    <row r="17" spans="2:8" ht="12.75">
      <c r="B17" s="13"/>
      <c r="C17" s="13"/>
      <c r="D17" s="13"/>
      <c r="E17" s="13"/>
      <c r="F17" s="13"/>
      <c r="G17" s="13"/>
      <c r="H17" s="2"/>
    </row>
    <row r="18" spans="2:8" ht="12.75">
      <c r="B18" s="2"/>
      <c r="C18" s="2"/>
      <c r="D18" s="2"/>
      <c r="E18" s="2"/>
      <c r="F18" s="2"/>
      <c r="G18" s="2"/>
      <c r="H18" s="26"/>
    </row>
    <row r="19" spans="2:8" ht="12.75">
      <c r="B19" s="2"/>
      <c r="C19" s="2"/>
      <c r="D19" s="2"/>
      <c r="E19" s="2"/>
      <c r="F19" s="2"/>
      <c r="G19" s="2"/>
      <c r="H19" s="5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5"/>
    </row>
    <row r="23" spans="2:8" ht="12.75">
      <c r="B23" s="2"/>
      <c r="C23" s="2"/>
      <c r="D23" s="2"/>
      <c r="E23" s="2"/>
      <c r="F23" s="2"/>
      <c r="G23" s="2"/>
      <c r="H23" s="2"/>
    </row>
    <row r="24" spans="2:8" ht="12">
      <c r="B24" s="4"/>
      <c r="C24" s="4"/>
      <c r="D24" s="4"/>
      <c r="E24" s="4"/>
      <c r="F24" s="4"/>
      <c r="G24" s="4"/>
      <c r="H24" s="4"/>
    </row>
    <row r="25" spans="2:8" ht="12">
      <c r="B25" s="4"/>
      <c r="C25" s="4"/>
      <c r="D25" s="4"/>
      <c r="E25" s="4"/>
      <c r="F25" s="4"/>
      <c r="G25" s="4"/>
      <c r="H25" s="6"/>
    </row>
    <row r="26" spans="2:8" ht="12">
      <c r="B26" s="4"/>
      <c r="C26" s="4"/>
      <c r="D26" s="4"/>
      <c r="E26" s="4"/>
      <c r="F26" s="4"/>
      <c r="G26" s="4"/>
      <c r="H26" s="4"/>
    </row>
    <row r="27" spans="2:8" ht="12">
      <c r="B27" s="4"/>
      <c r="C27" s="4"/>
      <c r="D27" s="4"/>
      <c r="E27" s="4"/>
      <c r="F27" s="4"/>
      <c r="G27" s="4"/>
      <c r="H27" s="4"/>
    </row>
    <row r="28" spans="2:8" ht="12">
      <c r="B28" s="7"/>
      <c r="C28" s="7"/>
      <c r="D28" s="7"/>
      <c r="E28" s="7"/>
      <c r="F28" s="7"/>
      <c r="G28" s="7"/>
      <c r="H28" s="7"/>
    </row>
    <row r="29" spans="2:8" ht="12">
      <c r="B29" s="4"/>
      <c r="C29" s="4"/>
      <c r="D29" s="4"/>
      <c r="E29" s="4"/>
      <c r="F29" s="4"/>
      <c r="G29" s="4"/>
      <c r="H29" s="4"/>
    </row>
    <row r="30" spans="2:8" ht="12">
      <c r="B30" s="7"/>
      <c r="C30" s="7"/>
      <c r="D30" s="7"/>
      <c r="E30" s="7"/>
      <c r="F30" s="7"/>
      <c r="G30" s="7"/>
      <c r="H30" s="7"/>
    </row>
    <row r="31" spans="2:8" ht="12">
      <c r="B31" s="4"/>
      <c r="C31" s="4"/>
      <c r="D31" s="4"/>
      <c r="E31" s="4"/>
      <c r="F31" s="4"/>
      <c r="G31" s="4"/>
      <c r="H31" s="4"/>
    </row>
    <row r="32" spans="2:8" ht="12">
      <c r="B32" s="4"/>
      <c r="C32" s="4"/>
      <c r="D32" s="4"/>
      <c r="E32" s="4"/>
      <c r="F32" s="4"/>
      <c r="G32" s="4"/>
      <c r="H32" s="4"/>
    </row>
    <row r="33" spans="2:8" ht="12">
      <c r="B33" s="8"/>
      <c r="C33" s="8"/>
      <c r="D33" s="8"/>
      <c r="E33" s="8"/>
      <c r="F33" s="8"/>
      <c r="G33" s="8"/>
      <c r="H33" s="9"/>
    </row>
    <row r="34" spans="2:8" ht="12">
      <c r="B34" s="8"/>
      <c r="C34" s="8"/>
      <c r="D34" s="8"/>
      <c r="E34" s="8"/>
      <c r="F34" s="8"/>
      <c r="G34" s="8"/>
      <c r="H34" s="8"/>
    </row>
    <row r="35" spans="2:8" ht="12">
      <c r="B35" s="8"/>
      <c r="C35" s="8"/>
      <c r="D35" s="8"/>
      <c r="E35" s="8"/>
      <c r="F35" s="8"/>
      <c r="G35" s="8"/>
      <c r="H35" s="8"/>
    </row>
    <row r="36" spans="2:8" ht="12">
      <c r="B36" s="8"/>
      <c r="C36" s="8"/>
      <c r="D36" s="8"/>
      <c r="E36" s="8"/>
      <c r="F36" s="8"/>
      <c r="G36" s="8"/>
      <c r="H36" s="9"/>
    </row>
    <row r="37" spans="2:8" ht="12">
      <c r="B37" s="8"/>
      <c r="C37" s="8"/>
      <c r="D37" s="8"/>
      <c r="E37" s="8"/>
      <c r="F37" s="8"/>
      <c r="G37" s="8"/>
      <c r="H37" s="8"/>
    </row>
    <row r="38" spans="2:8" ht="12">
      <c r="B38" s="8"/>
      <c r="C38" s="8"/>
      <c r="D38" s="8"/>
      <c r="E38" s="8"/>
      <c r="F38" s="8"/>
      <c r="G38" s="8"/>
      <c r="H38" s="8"/>
    </row>
    <row r="39" spans="2:8" ht="12">
      <c r="B39" s="8"/>
      <c r="C39" s="8"/>
      <c r="D39" s="8"/>
      <c r="E39" s="8"/>
      <c r="F39" s="8"/>
      <c r="G39" s="8"/>
      <c r="H39" s="3"/>
    </row>
    <row r="40" spans="2:8" ht="12">
      <c r="B40" s="8"/>
      <c r="C40" s="8"/>
      <c r="D40" s="8"/>
      <c r="E40" s="8"/>
      <c r="F40" s="8"/>
      <c r="G40" s="8"/>
      <c r="H40" s="8"/>
    </row>
    <row r="41" spans="2:8" ht="12">
      <c r="B41" s="8"/>
      <c r="C41" s="8"/>
      <c r="D41" s="8"/>
      <c r="E41" s="8"/>
      <c r="F41" s="8"/>
      <c r="G41" s="8"/>
      <c r="H41" s="8"/>
    </row>
    <row r="42" spans="2:8" ht="12">
      <c r="B42" s="8"/>
      <c r="C42" s="8"/>
      <c r="D42" s="8"/>
      <c r="E42" s="8"/>
      <c r="F42" s="8"/>
      <c r="G42" s="8"/>
      <c r="H42" s="3"/>
    </row>
    <row r="43" spans="2:8" ht="12">
      <c r="B43" s="8"/>
      <c r="C43" s="8"/>
      <c r="D43" s="8"/>
      <c r="E43" s="8"/>
      <c r="F43" s="8"/>
      <c r="G43" s="8"/>
      <c r="H43" s="8"/>
    </row>
    <row r="44" spans="2:8" ht="12">
      <c r="B44" s="10"/>
      <c r="C44" s="10"/>
      <c r="D44" s="10"/>
      <c r="E44" s="10"/>
      <c r="F44" s="10"/>
      <c r="G44" s="10"/>
      <c r="H44" s="10"/>
    </row>
    <row r="45" spans="2:8" ht="12">
      <c r="B45" s="8"/>
      <c r="C45" s="8"/>
      <c r="D45" s="8"/>
      <c r="E45" s="8"/>
      <c r="F45" s="8"/>
      <c r="G45" s="8"/>
      <c r="H45" s="8"/>
    </row>
    <row r="46" spans="2:8" ht="12">
      <c r="B46" s="8"/>
      <c r="C46" s="8"/>
      <c r="D46" s="8"/>
      <c r="E46" s="8"/>
      <c r="F46" s="8"/>
      <c r="G46" s="8"/>
      <c r="H46" s="9"/>
    </row>
    <row r="47" spans="2:8" ht="12">
      <c r="B47" s="8"/>
      <c r="C47" s="8"/>
      <c r="D47" s="8"/>
      <c r="E47" s="8"/>
      <c r="F47" s="8"/>
      <c r="G47" s="8"/>
      <c r="H47" s="8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4"/>
      <c r="C49" s="4"/>
      <c r="D49" s="4"/>
      <c r="E49" s="4"/>
      <c r="F49" s="4"/>
      <c r="G49" s="4"/>
      <c r="H49" s="4"/>
    </row>
    <row r="50" spans="2:8" ht="12">
      <c r="B50" s="4"/>
      <c r="C50" s="4"/>
      <c r="D50" s="4"/>
      <c r="E50" s="4"/>
      <c r="F50" s="4"/>
      <c r="G50" s="4"/>
      <c r="H50" s="4"/>
    </row>
  </sheetData>
  <sheetProtection/>
  <mergeCells count="9">
    <mergeCell ref="B2:H2"/>
    <mergeCell ref="B5:H5"/>
    <mergeCell ref="B6:H6"/>
    <mergeCell ref="D7:F7"/>
    <mergeCell ref="B10:F10"/>
    <mergeCell ref="D12:F12"/>
    <mergeCell ref="D11:F11"/>
    <mergeCell ref="D8:F8"/>
    <mergeCell ref="D9:F9"/>
  </mergeCells>
  <printOptions horizontalCentered="1" verticalCentered="1"/>
  <pageMargins left="0.31496062992125984" right="0" top="1.968503937007874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ionara</cp:lastModifiedBy>
  <cp:lastPrinted>2016-11-03T12:11:06Z</cp:lastPrinted>
  <dcterms:created xsi:type="dcterms:W3CDTF">1998-06-22T18:58:18Z</dcterms:created>
  <dcterms:modified xsi:type="dcterms:W3CDTF">2016-11-04T10:12:33Z</dcterms:modified>
  <cp:category/>
  <cp:version/>
  <cp:contentType/>
  <cp:contentStatus/>
</cp:coreProperties>
</file>