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10" activeTab="0"/>
  </bookViews>
  <sheets>
    <sheet name="Trator de Esteira" sheetId="1" r:id="rId1"/>
    <sheet name="Ônibus Equipe Capina" sheetId="2" r:id="rId2"/>
    <sheet name="Van Equipe Equipe Aterro" sheetId="3" r:id="rId3"/>
    <sheet name="Retroescavadeira" sheetId="4" r:id="rId4"/>
    <sheet name="Pick Up Fiorino Coleta Hospital" sheetId="5" r:id="rId5"/>
    <sheet name="Mâo-de-obra Coleta Hospitalar" sheetId="6" r:id="rId6"/>
    <sheet name="Mâo-de-obra Coleta Domiciliar" sheetId="7" r:id="rId7"/>
    <sheet name="Mão-de-obra Aterro Sanitário" sheetId="8" r:id="rId8"/>
    <sheet name="Insumos Aterro Sanitário" sheetId="9" r:id="rId9"/>
    <sheet name="Insumos Varrição" sheetId="10" r:id="rId10"/>
    <sheet name="Insumos - Equipe Capina" sheetId="11" r:id="rId11"/>
    <sheet name="Insumos - Equipe Multi Uso" sheetId="12" r:id="rId12"/>
    <sheet name="Equipe Multi Uso" sheetId="13" r:id="rId13"/>
    <sheet name="Varrição" sheetId="14" r:id="rId14"/>
    <sheet name="Caminhão Bascul. Aterro Sanitár" sheetId="15" r:id="rId15"/>
    <sheet name="Caminhão Equipe Multi-Uso" sheetId="16" r:id="rId16"/>
    <sheet name="Caminhão Basculante Varrição" sheetId="17" r:id="rId17"/>
    <sheet name="Caminhão Coletor" sheetId="18" r:id="rId18"/>
    <sheet name="Caminhão Pipa" sheetId="19" r:id="rId19"/>
    <sheet name="Equipe Capina" sheetId="20" r:id="rId20"/>
    <sheet name="Veículo Apoio Coleta Domiciliar" sheetId="21" r:id="rId21"/>
    <sheet name="Encargos Sociais" sheetId="22" r:id="rId22"/>
    <sheet name="Quadro Resumo" sheetId="23" r:id="rId23"/>
  </sheets>
  <externalReferences>
    <externalReference r:id="rId26"/>
  </externalReferences>
  <definedNames>
    <definedName name="_xlnm.Print_Area" localSheetId="14">'Caminhão Bascul. Aterro Sanitár'!$A$1:$W$64</definedName>
    <definedName name="_xlnm.Print_Area" localSheetId="16">'Caminhão Basculante Varrição'!$A$1:$W$64</definedName>
    <definedName name="_xlnm.Print_Area" localSheetId="17">'Caminhão Coletor'!$A$1:$W$65</definedName>
    <definedName name="_xlnm.Print_Area" localSheetId="15">'Caminhão Equipe Multi-Uso'!$A$1:$W$64</definedName>
    <definedName name="_xlnm.Print_Area" localSheetId="18">'Caminhão Pipa'!$A$1:$W$69</definedName>
    <definedName name="_xlnm.Print_Area" localSheetId="19">'Equipe Capina'!$A$1:$K$63</definedName>
    <definedName name="_xlnm.Print_Area" localSheetId="12">'Equipe Multi Uso'!$A$1:$K$56</definedName>
    <definedName name="_xlnm.Print_Area" localSheetId="10">'Insumos - Equipe Capina'!$A$1:$K$53</definedName>
    <definedName name="_xlnm.Print_Area" localSheetId="11">'Insumos - Equipe Multi Uso'!$A$1:$K$51</definedName>
    <definedName name="_xlnm.Print_Area" localSheetId="8">'Insumos Aterro Sanitário'!$A$1:$L$68</definedName>
    <definedName name="_xlnm.Print_Area" localSheetId="9">'Insumos Varrição'!$A$1:$L$56</definedName>
    <definedName name="_xlnm.Print_Area" localSheetId="7">'Mão-de-obra Aterro Sanitário'!$A$1:$L$72</definedName>
    <definedName name="_xlnm.Print_Area" localSheetId="6">'Mâo-de-obra Coleta Domiciliar'!$A$1:$K$66</definedName>
    <definedName name="_xlnm.Print_Area" localSheetId="5">'Mâo-de-obra Coleta Hospitalar'!$A$1:$K$58</definedName>
    <definedName name="_xlnm.Print_Area" localSheetId="1">'Ônibus Equipe Capina'!$A$1:$W$72</definedName>
    <definedName name="_xlnm.Print_Area" localSheetId="4">'Pick Up Fiorino Coleta Hospital'!$A$1:$W$68</definedName>
    <definedName name="_xlnm.Print_Area" localSheetId="22">'Quadro Resumo'!$A$1:$G$64</definedName>
    <definedName name="_xlnm.Print_Area" localSheetId="3">'Retroescavadeira'!$A$1:$W$62</definedName>
    <definedName name="_xlnm.Print_Area" localSheetId="0">'Trator de Esteira'!$A$1:$W$65</definedName>
    <definedName name="_xlnm.Print_Area" localSheetId="2">'Van Equipe Equipe Aterro'!$A$1:$W$68</definedName>
    <definedName name="_xlnm.Print_Area" localSheetId="13">'Varrição'!$A$1:$L$62</definedName>
    <definedName name="_xlnm.Print_Area" localSheetId="20">'Veículo Apoio Coleta Domiciliar'!$A$1:$W$63</definedName>
  </definedNames>
  <calcPr fullCalcOnLoad="1" fullPrecision="0"/>
</workbook>
</file>

<file path=xl/sharedStrings.xml><?xml version="1.0" encoding="utf-8"?>
<sst xmlns="http://schemas.openxmlformats.org/spreadsheetml/2006/main" count="3800" uniqueCount="516">
  <si>
    <t>QUADRO   RESUMO</t>
  </si>
  <si>
    <t>DESCRIÇÃO   DOS   SERVIÇOS</t>
  </si>
  <si>
    <t>04  CAMINHÕES  COLETORES  OPERACIONAIS  +  01  CAMINHÃO  RESERVA</t>
  </si>
  <si>
    <t xml:space="preserve">CARRINHOS  LUTOCAR,  VASSOURAS,  PÁS,  ENXADAS,  SACOS  DE  LIXO  e  ETC  </t>
  </si>
  <si>
    <t>EQUIPAMENTOS</t>
  </si>
  <si>
    <t>MÃO-DE-OBRA</t>
  </si>
  <si>
    <t>TOTAL</t>
  </si>
  <si>
    <t xml:space="preserve">COLETA  DE  LIXO  DOMICILIAR  E  COMERCIAL  </t>
  </si>
  <si>
    <t>01  ENCARREGADO  e  02  MONITORES )</t>
  </si>
  <si>
    <t>Preço  por  Kg</t>
  </si>
  <si>
    <t>Qtde  Mês</t>
  </si>
  <si>
    <t>PINTURA  DE  MEIO  FIOS,  PODAS  DE  ARVORES  E  ETC</t>
  </si>
  <si>
    <t xml:space="preserve">I T E M     01     -     L I M P E Z A     D E     V I A S     E     L O G R A D O U R O S </t>
  </si>
  <si>
    <t xml:space="preserve">I T E M     02     -     E Q U I  P E     D E     C A P I N A     </t>
  </si>
  <si>
    <t>I T E M     03     -     E Q U I  P E     M U L T I      U S  O</t>
  </si>
  <si>
    <t>T O T A L     D O S     I T E N S      01     +     02     +     03</t>
  </si>
  <si>
    <t>I T E M     04     -     C O L E  T  A     D E     R E S Í  D  U  O  S     S Ó L I D O S</t>
  </si>
  <si>
    <t>I T E M      05     -     O P E R A Ç Ã O     D E     A T E R R O     S A N I T Á R I O</t>
  </si>
  <si>
    <t xml:space="preserve">I T E M     07     -     C O L E  T  A     E     D E S T I N A Ç Ã O     F I N A L     D E     R E S Í  D  U  O  S     H O S P I T A L Á R E S </t>
  </si>
  <si>
    <t>T O T A L     D O S     I T E N S      04     +     05     +     06</t>
  </si>
  <si>
    <t>Preço  por  mês</t>
  </si>
  <si>
    <t>Total</t>
  </si>
  <si>
    <t>01  CAMINHÃO  BASCULANTE COM  MOTORISTA</t>
  </si>
  <si>
    <t xml:space="preserve">01 PICK UP FURGÃO </t>
  </si>
  <si>
    <t>Sub  Total  ( EQUIPAMENTOS )</t>
  </si>
  <si>
    <t xml:space="preserve">MÃO-DE-OBRA ( 01  MOTORISTA  e  01  COLETOR ) </t>
  </si>
  <si>
    <t>01  ENCARREGADO  E  12  CAPINEIROS  PARA  CAPINAS,  PODAS DE ÁRVORES E ETC</t>
  </si>
  <si>
    <t>S U B     T O T A L     D O     I T E M</t>
  </si>
  <si>
    <t xml:space="preserve">01  ENCARREGADO  , 01  MOTORISTA  E  12  SERVIÇOS  GERAIS PARA  LIMPEZA  DE  BUEIROS, </t>
  </si>
  <si>
    <t>Serviços de  Educação  e  Concientização  Ambiental</t>
  </si>
  <si>
    <t>T O T A L     D O     I T E M     04</t>
  </si>
  <si>
    <t>T O T A L     D O     I T E M     05</t>
  </si>
  <si>
    <t>T O T A L     D O     I T E M     02</t>
  </si>
  <si>
    <t>T O T A L     D O     I T E M     01</t>
  </si>
  <si>
    <t>T O T A L     D O     I T E M     03</t>
  </si>
  <si>
    <t>T O T A L     D O     I T E M     06</t>
  </si>
  <si>
    <t>T O T A L     D O     I T E M     07</t>
  </si>
  <si>
    <t xml:space="preserve">01  ONIBUS  PARA  TRANSPORTE  DE  EQUIPES  +  02  CAMINHÕES  BASCULANTE  </t>
  </si>
  <si>
    <r>
      <t xml:space="preserve">01  EQUIPE  MULTI USO  A  SER  SOLICITADA  </t>
    </r>
    <r>
      <rPr>
        <b/>
        <u val="single"/>
        <sz val="10"/>
        <color indexed="8"/>
        <rFont val="Times New Roman"/>
        <family val="1"/>
      </rPr>
      <t>EVENTUALMENTE</t>
    </r>
    <r>
      <rPr>
        <b/>
        <sz val="10"/>
        <color indexed="8"/>
        <rFont val="Times New Roman"/>
        <family val="1"/>
      </rPr>
      <t xml:space="preserve">,  COMPOSTA  DE  </t>
    </r>
  </si>
  <si>
    <t>01 CAMINHÃO BASCULANTE</t>
  </si>
  <si>
    <t>01   AUXILIAR  DE  SERVIÇOS  GERAIS + 01 PEDREIRO + 01 OPERADOR DE ROÇADEIRA</t>
  </si>
  <si>
    <t xml:space="preserve">01  CAMINHÃO  PIPA COM  MOTORISTA  + 01 VAN COM MOTORISTA </t>
  </si>
  <si>
    <t>01  ENGENHEIRO  AMBIENTAL/BIÓLOGO + 04 VIGIAS</t>
  </si>
  <si>
    <t>01  TRATOR  DE  ESTEIRA  COM  OPERADOR + 01 RETRO ESCAVADEIRA COM OPERADOR</t>
  </si>
  <si>
    <t>INSUMOS  DE  MANUTENÇÃO  DO  ATERRO  SANITÁRIO</t>
  </si>
  <si>
    <t xml:space="preserve">EQUIPES DE VARRIÇÃO  MANUAL  DE  VIAS  E  SARJETAS ( 160  VARREDORES  COM  </t>
  </si>
  <si>
    <t xml:space="preserve">QTDE  ESTIMADA  PARA  04  EQUIPES   -   PREÇO  POR  M² </t>
  </si>
  <si>
    <t>Qtde  Global</t>
  </si>
  <si>
    <t>CUSTO   DE   CAMINHÃO   BASCULANTE   ATERRO   SANITÁRIO</t>
  </si>
  <si>
    <t xml:space="preserve">DEMONSTRATIVO MENSAL DE CUSTO OPERACIONAL UNITÁRIO DE VEÍCULO </t>
  </si>
  <si>
    <t>VEICULO SEM MOTORISTA -  REGIME ADMINISTRATIVO</t>
  </si>
  <si>
    <t>%</t>
  </si>
  <si>
    <t>QUADRO  3  -  COMPOSIÇÃO DE CUSTO VARIÁVEL/KM</t>
  </si>
  <si>
    <t>QUADRO  1 -  COMPOSIÇÃO DE CUSTO FIXO</t>
  </si>
  <si>
    <t>Descrição do Veiculo: CAMINHÃO   BASCULANTE   -   Tipo   MBB 1618  ou   SIMILAR</t>
  </si>
  <si>
    <t>Ano de Fabricação: 2005</t>
  </si>
  <si>
    <t>Tipo de Combustível: Diesel</t>
  </si>
  <si>
    <t>Reserva Técnica</t>
  </si>
  <si>
    <t>às</t>
  </si>
  <si>
    <t>Hs</t>
  </si>
  <si>
    <t>Contratante:</t>
  </si>
  <si>
    <t>PREFEITURA   MUNICIPAL   DE   PATOS   DE   MINAS - MG</t>
  </si>
  <si>
    <t xml:space="preserve">Km Estimada: </t>
  </si>
  <si>
    <t>Km</t>
  </si>
  <si>
    <t xml:space="preserve">BASE </t>
  </si>
  <si>
    <t>Horário:</t>
  </si>
  <si>
    <t>QTDE</t>
  </si>
  <si>
    <t>UNIDADE</t>
  </si>
  <si>
    <t>CONSUMO</t>
  </si>
  <si>
    <t>ITEM</t>
  </si>
  <si>
    <t>D E S C R I Ç Ã O</t>
  </si>
  <si>
    <t>FATOR</t>
  </si>
  <si>
    <t>DE</t>
  </si>
  <si>
    <t>VALOR (R $)</t>
  </si>
  <si>
    <t>CÁLCULO</t>
  </si>
  <si>
    <t>ÍNDICE</t>
  </si>
  <si>
    <t>PRAZO</t>
  </si>
  <si>
    <t xml:space="preserve"> 3- </t>
  </si>
  <si>
    <t>CUSTO VARIÁVEL / KM</t>
  </si>
  <si>
    <t xml:space="preserve"> 1-</t>
  </si>
  <si>
    <t>CUSTO FIXO MENSAL</t>
  </si>
  <si>
    <t>s/ deprec.</t>
  </si>
  <si>
    <t xml:space="preserve"> 3-1</t>
  </si>
  <si>
    <t>Pecas/manutenção.........................................................................................</t>
  </si>
  <si>
    <t>************</t>
  </si>
  <si>
    <t xml:space="preserve"> 3-2</t>
  </si>
  <si>
    <t>Sal. pess. de oficina.........................................................................................................</t>
  </si>
  <si>
    <t>mês</t>
  </si>
  <si>
    <t>*******</t>
  </si>
  <si>
    <t xml:space="preserve"> 1-1</t>
  </si>
  <si>
    <t>Depreciação</t>
  </si>
  <si>
    <t>unidades</t>
  </si>
  <si>
    <t xml:space="preserve"> 3-3</t>
  </si>
  <si>
    <t>Pneus e camaras e recapagens....</t>
  </si>
  <si>
    <t xml:space="preserve"> 1-1.1</t>
  </si>
  <si>
    <t>Depreciação ( Reserva Técnica )</t>
  </si>
  <si>
    <t>0,00%</t>
  </si>
  <si>
    <t>litros</t>
  </si>
  <si>
    <t xml:space="preserve"> 3-4</t>
  </si>
  <si>
    <t>Combustível.............................................................................................................................</t>
  </si>
  <si>
    <t xml:space="preserve"> 1-2</t>
  </si>
  <si>
    <t>Renumeração do Capital</t>
  </si>
  <si>
    <t xml:space="preserve"> 3-5</t>
  </si>
  <si>
    <t>Oleo de carter..........................................................................................................................</t>
  </si>
  <si>
    <t xml:space="preserve"> 1-2.1</t>
  </si>
  <si>
    <t>Renumeração do Capital ( Reserva Técnica )</t>
  </si>
  <si>
    <t xml:space="preserve"> 3-6</t>
  </si>
  <si>
    <t>Oleo de câmbio e diferencial............................................................................</t>
  </si>
  <si>
    <t>anual</t>
  </si>
  <si>
    <t xml:space="preserve"> 1-3</t>
  </si>
  <si>
    <t>Licenciamento</t>
  </si>
  <si>
    <t xml:space="preserve"> 3-7</t>
  </si>
  <si>
    <t>Lavagem e graxas........................................................................................................................</t>
  </si>
  <si>
    <t xml:space="preserve"> 1-4</t>
  </si>
  <si>
    <t xml:space="preserve">IPVA </t>
  </si>
  <si>
    <t>%  veiculo</t>
  </si>
  <si>
    <t xml:space="preserve"> 1-5</t>
  </si>
  <si>
    <t>Seguro do Casco</t>
  </si>
  <si>
    <t xml:space="preserve"> 3-8</t>
  </si>
  <si>
    <t>CUSTO VARIÁVEL POR KM (3.1 A 3.7)</t>
  </si>
  <si>
    <t xml:space="preserve"> 1-6</t>
  </si>
  <si>
    <t>CUSTO FIXO MENSAL DO VEICULO (1.1 A 1.5)</t>
  </si>
  <si>
    <t>% Util. do Veículo</t>
  </si>
  <si>
    <t>% Km efetiva</t>
  </si>
  <si>
    <t>Km efetiva</t>
  </si>
  <si>
    <t xml:space="preserve"> 1-7</t>
  </si>
  <si>
    <t xml:space="preserve">Km Improdutivo </t>
  </si>
  <si>
    <t>QUADRO  4  -  COMPOSIÇÃO DE PRECO / KM</t>
  </si>
  <si>
    <t>DESCRIÇÃO</t>
  </si>
  <si>
    <t>PRECO/KM</t>
  </si>
  <si>
    <t xml:space="preserve"> 4-</t>
  </si>
  <si>
    <t>PRECO VARIAVEL / KM</t>
  </si>
  <si>
    <t xml:space="preserve"> 1-8</t>
  </si>
  <si>
    <t xml:space="preserve"> 4-1</t>
  </si>
  <si>
    <t>Custo Variável total/Km</t>
  </si>
  <si>
    <t xml:space="preserve"> 4-2</t>
  </si>
  <si>
    <t xml:space="preserve">     QUADRO  2  -  COMPOSIÇÃO DE PREÇOS</t>
  </si>
  <si>
    <t xml:space="preserve"> 4-3</t>
  </si>
  <si>
    <t>Administração Geral</t>
  </si>
  <si>
    <t>**********</t>
  </si>
  <si>
    <t xml:space="preserve"> 4-4</t>
  </si>
  <si>
    <t xml:space="preserve"> 4-5</t>
  </si>
  <si>
    <t>Encargos Financeiros</t>
  </si>
  <si>
    <t xml:space="preserve"> 4-6</t>
  </si>
  <si>
    <t xml:space="preserve"> 4-7</t>
  </si>
  <si>
    <t>Lucro pretendido(% 4.6)</t>
  </si>
  <si>
    <t xml:space="preserve"> 2-1</t>
  </si>
  <si>
    <t>Custo fixo total (1.8)</t>
  </si>
  <si>
    <t xml:space="preserve"> 4-8</t>
  </si>
  <si>
    <t xml:space="preserve"> 2-2</t>
  </si>
  <si>
    <t xml:space="preserve"> C</t>
  </si>
  <si>
    <t>Impostos</t>
  </si>
  <si>
    <t xml:space="preserve"> 2-3</t>
  </si>
  <si>
    <t>PREÇO FINAL POR KM  4-8/( 1 - C )</t>
  </si>
  <si>
    <t xml:space="preserve"> 2-4</t>
  </si>
  <si>
    <t xml:space="preserve"> 2-5</t>
  </si>
  <si>
    <t xml:space="preserve"> 2-6</t>
  </si>
  <si>
    <t>QUADRO 5 - CUSTO UNITÁRIO TOTAL</t>
  </si>
  <si>
    <t xml:space="preserve"> 2-7</t>
  </si>
  <si>
    <t>4-10</t>
  </si>
  <si>
    <t>Preço Variável Mensal (4.9 x Km Estimada )</t>
  </si>
  <si>
    <t xml:space="preserve"> 2-8</t>
  </si>
  <si>
    <t>SUB TOTAL 3(2-6 A 2-7)</t>
  </si>
  <si>
    <t>4-11</t>
  </si>
  <si>
    <t>Preço  Fixo Unitário Mensal( 2-9 )</t>
  </si>
  <si>
    <t xml:space="preserve"> A</t>
  </si>
  <si>
    <t xml:space="preserve"> 2-9</t>
  </si>
  <si>
    <t>PRECO FIXO FINAL  2-8/( 1 - A )</t>
  </si>
  <si>
    <t>4-12</t>
  </si>
  <si>
    <t>Nota Explicativa : Os campos em branco deverão ser preenchidos de acordo com os custos do proponente.</t>
  </si>
  <si>
    <t>CUSTO   DE   CAMINHÃO   BASCULANTE   -   EQUIPE   MULTI   USO</t>
  </si>
  <si>
    <t>VEICULO SEM MOTORISTA  -  REGIME ADMINISTRATIVO</t>
  </si>
  <si>
    <t>com  intervalo  de  02  Hs  para refeição</t>
  </si>
  <si>
    <t>CUSTO   DE   CAMINHÃO   BASCULANTE   VARRIÇÃO</t>
  </si>
  <si>
    <t>CUSTO  DE  TRANSPORTE   DE   LIXO   DOMICILIAR</t>
  </si>
  <si>
    <t>VEICULO COM MOTORISTA E ASSISTENTE ADMINISTRATIVO  -  REGIME ADMINISTRATIVO</t>
  </si>
  <si>
    <t>Custo fixo total (1.9)</t>
  </si>
  <si>
    <t>Preço  Unitário  Mensal</t>
  </si>
  <si>
    <t xml:space="preserve">COLETA  MÉDIA  DIÁRIA </t>
  </si>
  <si>
    <t>Tl.</t>
  </si>
  <si>
    <t>MÉDIA  DE  DIAS  TRABALHADOS  MÊS</t>
  </si>
  <si>
    <t>COLETA  MÉDIA  MENSAL</t>
  </si>
  <si>
    <t>Preço  do  transporte  por  Tonelada</t>
  </si>
  <si>
    <t>CUSTO   DE   CAMINHÃO   PIPA   ATERRO   SANITÁRIO</t>
  </si>
  <si>
    <t>Descrição do Veiculo: CAMINHÃO   PIPA   -   Tipo   MBB 1618  ou   SIMILAR</t>
  </si>
  <si>
    <t xml:space="preserve">CUSTO   DE   EQUIPE   DE   CAPINA   </t>
  </si>
  <si>
    <t>DEMONSTRATIVO   MENSAL   DE   CUSTO   DE MÃO-DE-OBRA</t>
  </si>
  <si>
    <t xml:space="preserve"> REGIME     ADMINISTRATIVO     -     13   COMPONENTES</t>
  </si>
  <si>
    <t>Descrição : EQUIPE   DE   CAPINA</t>
  </si>
  <si>
    <t>com  02  Hs  de  refeição</t>
  </si>
  <si>
    <t>Salário do Operador de Roçadeira</t>
  </si>
  <si>
    <t>Salário do Motorista</t>
  </si>
  <si>
    <t>Salário de Serviços Gerais</t>
  </si>
  <si>
    <t>% acréscimo</t>
  </si>
  <si>
    <t>Horas</t>
  </si>
  <si>
    <t>Horas Extras</t>
  </si>
  <si>
    <t>Encarregado</t>
  </si>
  <si>
    <t>Técnico Segurança do Trabalho</t>
  </si>
  <si>
    <t xml:space="preserve">% </t>
  </si>
  <si>
    <t>Encargos Sociais e Trabalhistas</t>
  </si>
  <si>
    <t>Cesta Básica</t>
  </si>
  <si>
    <t>Alimentação ( Cesta Básica )</t>
  </si>
  <si>
    <t>unidade</t>
  </si>
  <si>
    <t xml:space="preserve"> 1-9</t>
  </si>
  <si>
    <t>Uniformes</t>
  </si>
  <si>
    <t>nº dependtes</t>
  </si>
  <si>
    <t xml:space="preserve"> 1-10</t>
  </si>
  <si>
    <t>Assitencia  Médica</t>
  </si>
  <si>
    <t xml:space="preserve"> 1-11</t>
  </si>
  <si>
    <t>Seguro de Vida</t>
  </si>
  <si>
    <t xml:space="preserve"> 1-12</t>
  </si>
  <si>
    <t>EPIs</t>
  </si>
  <si>
    <t xml:space="preserve"> 1-13</t>
  </si>
  <si>
    <t>Vale Transporte</t>
  </si>
  <si>
    <t xml:space="preserve"> 1-14</t>
  </si>
  <si>
    <t>Desconto vale transporte</t>
  </si>
  <si>
    <t xml:space="preserve"> 1-15</t>
  </si>
  <si>
    <t xml:space="preserve">RENDIMENTO  MÉDIO  DIÁRIO </t>
  </si>
  <si>
    <t>m²</t>
  </si>
  <si>
    <t>RENDIMENTO  MÉDIO  MENSAL</t>
  </si>
  <si>
    <t>CUSTO MÃO-DE-OBRA</t>
  </si>
  <si>
    <t xml:space="preserve">CUSTO  DE  EQUIPE  DE  VARRIÇÃO  </t>
  </si>
  <si>
    <t>DEMONSTRATIVO   MENSAL   DE   CUSTO   DE   SERVIÇOS</t>
  </si>
  <si>
    <t>EQUIPE   DE   VARRIÇÃO   -   REGIME   ADMINISTRATIVO</t>
  </si>
  <si>
    <t>Cargos: Encarregado / Monitor / Varredor</t>
  </si>
  <si>
    <t xml:space="preserve">Varrição Semanal: </t>
  </si>
  <si>
    <t xml:space="preserve">Varrição Diária: </t>
  </si>
  <si>
    <t xml:space="preserve">Varrição diária com repasse: </t>
  </si>
  <si>
    <t>Varrição Distritos:</t>
  </si>
  <si>
    <t>Salário do motorista transporte equipe</t>
  </si>
  <si>
    <t>Ajudantes de motoristas</t>
  </si>
  <si>
    <t>Salário do motorista caminhão basculante</t>
  </si>
  <si>
    <t>Monitor</t>
  </si>
  <si>
    <t>Salário do Varredor</t>
  </si>
  <si>
    <t>Assitência  Médica</t>
  </si>
  <si>
    <t>Custo fixo total (1.12)</t>
  </si>
  <si>
    <t>CUSTO   DE   EQUIPE   MULTI    USO</t>
  </si>
  <si>
    <t>Descrição : EQUIPE   MULTI   USO</t>
  </si>
  <si>
    <t>Salário de Motorista Caminhão Basculante</t>
  </si>
  <si>
    <t>CUSTO   DE   INSUMOS   E   MATERIAIS   -   EQUIPE   MULTI    USO</t>
  </si>
  <si>
    <t>Descrição : INSUMOS  E  MATERIAIS  EQUIPE   MULTI   USO</t>
  </si>
  <si>
    <t>Vassouras</t>
  </si>
  <si>
    <t>Pás</t>
  </si>
  <si>
    <t>Brochas</t>
  </si>
  <si>
    <t>Pacote de Cal  Virgem</t>
  </si>
  <si>
    <t>Saco  de  lixo - 100 Lt.</t>
  </si>
  <si>
    <t>Custo fixo total (1.6)</t>
  </si>
  <si>
    <t xml:space="preserve">CUSTO   DE   INSUMOS   E   MATERIAIS   EQUIPE   DE   CAPINA   </t>
  </si>
  <si>
    <t>Descrição : INSUMOS   E   MATERIAIS  -   EQUIPE   DE   CAPINA</t>
  </si>
  <si>
    <t>Roçadeira</t>
  </si>
  <si>
    <t>Hora</t>
  </si>
  <si>
    <t>Comsumo Roçadeira</t>
  </si>
  <si>
    <t>dias</t>
  </si>
  <si>
    <t>Custo combustível roçadeira</t>
  </si>
  <si>
    <t>CUSTO  DE  INSUMOS  E  MATERIAIS</t>
  </si>
  <si>
    <t xml:space="preserve">CUSTO  DE  INSUMOS  E  MATERIAIS  -  EQUIPE  DE  VARRIÇÃO  </t>
  </si>
  <si>
    <t>Insumos  e  Materiais  -  Equipe  de  Varrição</t>
  </si>
  <si>
    <t>Carrinho tipo Lutocar</t>
  </si>
  <si>
    <t>Enxadas</t>
  </si>
  <si>
    <t>CUSTO  DE  INSUMOS  ATERRO  SANITÁRIO</t>
  </si>
  <si>
    <t>DEMONSTRATIVO   MENSAL   DE   CUSTO   DE   MATERIAIS</t>
  </si>
  <si>
    <t>INSUMOS</t>
  </si>
  <si>
    <t>Manta  de  PEAD  ( mínimo 2  mm )</t>
  </si>
  <si>
    <t>m³</t>
  </si>
  <si>
    <t>Areia lavada</t>
  </si>
  <si>
    <t>Saco de cimento</t>
  </si>
  <si>
    <t>Pedra de mão</t>
  </si>
  <si>
    <t>Manilha de 0,80</t>
  </si>
  <si>
    <t>Manilha de 0,60</t>
  </si>
  <si>
    <t>Manilha de 0,30 drenada</t>
  </si>
  <si>
    <t>Canaleta Concreto 20 x 20</t>
  </si>
  <si>
    <t>Bloco Concreto 0,20</t>
  </si>
  <si>
    <t>Brita 3</t>
  </si>
  <si>
    <t>CUSTO   DE   MÃO-DE-OBRA   -   ATERRO   SANITÁRIO</t>
  </si>
  <si>
    <t>DEMONSTRATIVO MENSAL DE CUSTO DE MÃO-DE-OBRA</t>
  </si>
  <si>
    <t xml:space="preserve">QUADRO  1 -  COMPOSIÇÃO DE CUSTO </t>
  </si>
  <si>
    <t xml:space="preserve">Salário do motorista Van </t>
  </si>
  <si>
    <t xml:space="preserve">Salário do motorista caminhão pipa  </t>
  </si>
  <si>
    <t>Adicional  Insalubridade</t>
  </si>
  <si>
    <t>Salário do operador de retro escavadeira</t>
  </si>
  <si>
    <t>Salário do operador de trator de esteira</t>
  </si>
  <si>
    <t>Engenheiro Ambiental ou Biólogo</t>
  </si>
  <si>
    <t>Vigia</t>
  </si>
  <si>
    <t>Auxiliar  de  serviços  gerais</t>
  </si>
  <si>
    <t xml:space="preserve"> 1-16</t>
  </si>
  <si>
    <t xml:space="preserve"> 1-17</t>
  </si>
  <si>
    <t>Operador de roçadeira</t>
  </si>
  <si>
    <t xml:space="preserve"> 1-18</t>
  </si>
  <si>
    <t xml:space="preserve"> 1-19</t>
  </si>
  <si>
    <t xml:space="preserve"> 1-20</t>
  </si>
  <si>
    <t xml:space="preserve"> 1-21</t>
  </si>
  <si>
    <t xml:space="preserve"> 1-22</t>
  </si>
  <si>
    <t xml:space="preserve"> 1-23</t>
  </si>
  <si>
    <t xml:space="preserve"> 1-24</t>
  </si>
  <si>
    <t xml:space="preserve"> 1-25</t>
  </si>
  <si>
    <t>CUSTO  DE  MÃO-DE-OBRA   DE   TRANSPORTE   DE   LIXO   DOMICILIAR</t>
  </si>
  <si>
    <t>DEMONSTRATIVO MENSAL DE MÃO-DE-OBRA</t>
  </si>
  <si>
    <t>REGIME     ADMINISTRATIVO     POR     VEÍCULO</t>
  </si>
  <si>
    <t>Descrição dos Cargos: MOTORISTAS  e  GARIS</t>
  </si>
  <si>
    <t>Salário do motorista</t>
  </si>
  <si>
    <t>Salário do Coletor</t>
  </si>
  <si>
    <t>Adicional Insalubridade</t>
  </si>
  <si>
    <t>2-10</t>
  </si>
  <si>
    <t>CUSTO  DE  MÃO-DE-OBRA   DE   TRANSPORTE   DE   LIXO   HOSPITALAR</t>
  </si>
  <si>
    <t>Descrição dos Cargos: MOTORISTAS  e  COLETOR</t>
  </si>
  <si>
    <t>CUSTO   DE   VEÍCULO   COLETA   HOSPITALAR</t>
  </si>
  <si>
    <t>VEICULO SEM MOTORISTA   -  REGIME ADMINISTRATIVO</t>
  </si>
  <si>
    <t>Descrição do Veiculo: PICK UP  FURGÃO  FIORINO   ou   SIMILAR</t>
  </si>
  <si>
    <t>Tipo de Combustível: Gasolina</t>
  </si>
  <si>
    <t>Qtde de Kg / mês</t>
  </si>
  <si>
    <t xml:space="preserve">Horário: </t>
  </si>
  <si>
    <t>Balança móvel para aferição até 100 Kg</t>
  </si>
  <si>
    <t xml:space="preserve">CUSTO     OPERACIONAL     DE     MÁQUINA </t>
  </si>
  <si>
    <t>DEMONSTRATIVO DE CUSTO OPERACIONAL UNITÁRIO DE  RETRO  ESCAVADEIRA</t>
  </si>
  <si>
    <t>MÁQUINA  SEM  OPERADOR  -  REGIME ADMINISTRATIVO</t>
  </si>
  <si>
    <t>Descrição do Veiculo: Retro  Escavadeira  CASE  580  ou similar</t>
  </si>
  <si>
    <t>Ano de Fabricação: 2000</t>
  </si>
  <si>
    <t xml:space="preserve">Hs  Estimada: </t>
  </si>
  <si>
    <t>Hs / mês</t>
  </si>
  <si>
    <t>CUSTO VARIÁVEL / Hr.</t>
  </si>
  <si>
    <t>Pneus e camara de ar....................................................................................................................</t>
  </si>
  <si>
    <t>0,00</t>
  </si>
  <si>
    <t>Oleo de câmbio..........................................................................................................................</t>
  </si>
  <si>
    <t>%  máquina</t>
  </si>
  <si>
    <t>Oleo de hidráulico.........................................................................................................................</t>
  </si>
  <si>
    <t>CUSTO VARIÁVEL POR Hr. (3.1 A 3.7)</t>
  </si>
  <si>
    <t>% Hora efetiva</t>
  </si>
  <si>
    <t>Hr efetiva</t>
  </si>
  <si>
    <t xml:space="preserve">Hora Improdutiva </t>
  </si>
  <si>
    <t>QUADRO  4  -  COMPOSIÇÃO DE PREÇO / HORA</t>
  </si>
  <si>
    <t>PRECO VARIAVEL / Hr.</t>
  </si>
  <si>
    <t>Custo Variável total/Hr</t>
  </si>
  <si>
    <t>CUSTO  DE  VEÍCULO  DE  TRANSPORTE  DE  EQUIPE  ATERRO   SANITÁRIO</t>
  </si>
  <si>
    <t>VEICULO   SEM   MOTORISTA   -   REGIME   ADMINISTRATIVO</t>
  </si>
  <si>
    <t>Descrição do Veiculo: VAN   SPRINTER   ou   SIMILAR</t>
  </si>
  <si>
    <t>com   intervalo   de  02:00 hs  de  refeição</t>
  </si>
  <si>
    <t xml:space="preserve">Km Improdutivo ( Custo Km - item 3-8 ) </t>
  </si>
  <si>
    <t>CUSTO  DE  VEÍCULO  DE  TRANSPORTE  DE  EQUIPE  DE  CAPINA</t>
  </si>
  <si>
    <t>Descrição do Veiculo: ÔNIBUS  MBB  1618   ou   SIMILAR</t>
  </si>
  <si>
    <t>DEMONSTRATIVO DE CUSTO OPERACIONAL UNITÁRIO DE TRATOR DE ESTEIRA</t>
  </si>
  <si>
    <t>Descrição do Veiculo: Trator  de  Esteira   CAT  D6  ou  similar</t>
  </si>
  <si>
    <t>Ano de Fabricação: 1990</t>
  </si>
  <si>
    <t>Rodante...........................................</t>
  </si>
  <si>
    <t xml:space="preserve">COMPOSIÇÃO ANALÍTICA DA TAXA DE ENCARGOS SOCIAIS </t>
  </si>
  <si>
    <t xml:space="preserve">        INCIDÊNCIA SOBRE O VALOR DA HORA NORMAL EFETIVAMENTE TRABALHADA</t>
  </si>
  <si>
    <t>TAXA</t>
  </si>
  <si>
    <t>GRUPO "A" - ENCARGOS SOCIAIS BÁSICOS</t>
  </si>
  <si>
    <t>A.1</t>
  </si>
  <si>
    <t>PREVIDÊNCIA SOCIAL (INSS)</t>
  </si>
  <si>
    <t>A.2</t>
  </si>
  <si>
    <t>FUNDO DE GARANTIA POR TEMPO DE SERVIÇO (FGTS)</t>
  </si>
  <si>
    <t>A.3</t>
  </si>
  <si>
    <t>SALÁRIO EDUCAÇÃO</t>
  </si>
  <si>
    <t>A.4</t>
  </si>
  <si>
    <t xml:space="preserve">SESI </t>
  </si>
  <si>
    <t>A.5</t>
  </si>
  <si>
    <t>SERVIÇO NACIONAL DE APRENDIZAGEM INDUSTRIAL (SENAI)</t>
  </si>
  <si>
    <t>A.6</t>
  </si>
  <si>
    <t>SERVIÇO DE APOIO À PEQUENA E MÉDIA EMPRESA (SEBRAE)</t>
  </si>
  <si>
    <t>A.7</t>
  </si>
  <si>
    <t>INSTITUTO NACIONAL DE COLONIZAÇÃO E REFORMA AGRÁRIA ( INCRA )</t>
  </si>
  <si>
    <t>A.8</t>
  </si>
  <si>
    <t xml:space="preserve">SEGURO CONTRA OS ACIDENTES DE TRABALHO </t>
  </si>
  <si>
    <t>A.9</t>
  </si>
  <si>
    <t>CONTRIBUIÇÃO SINDICAL</t>
  </si>
  <si>
    <t>SUBTOTAL DO GRUPO "A"</t>
  </si>
  <si>
    <t>GRUPO "B" - ENCARGOS SOCIAIS QUE RECEBEM INCIDÊNCIA DE "A"</t>
  </si>
  <si>
    <t>B.1</t>
  </si>
  <si>
    <t>AUXÍLIO ENFERMIDADE (≤ 15 DIAS )</t>
  </si>
  <si>
    <t>B.2</t>
  </si>
  <si>
    <t>FALTAS LEGAIS</t>
  </si>
  <si>
    <t>B.3</t>
  </si>
  <si>
    <t>LICENÇA PATERNIDADE</t>
  </si>
  <si>
    <t>B.4</t>
  </si>
  <si>
    <t>AUXÍLIO ACIDENTE DE TRABALHO (≤ 15 DIAS )</t>
  </si>
  <si>
    <t>B.5</t>
  </si>
  <si>
    <t>AVISO PRÉVIO TRABALHADO</t>
  </si>
  <si>
    <t>B.6</t>
  </si>
  <si>
    <t>FÉRIAS GOZADAS + GRATIFICAÇÃO</t>
  </si>
  <si>
    <t>B.7</t>
  </si>
  <si>
    <t>13º SALÁRIO</t>
  </si>
  <si>
    <t>SUBTOTAL DO GRUPO "B"</t>
  </si>
  <si>
    <t>GRUPO "C" - ENCARGOS SOCIAIS QUE NÃO RECEBEM INCIDÊNCIAS GLOBAIS DO GRUPO "A"</t>
  </si>
  <si>
    <t>C.1</t>
  </si>
  <si>
    <t>INDENIZAÇÃO ( RESCISÕES S/ JUSTA CAUSA )</t>
  </si>
  <si>
    <t>C.2</t>
  </si>
  <si>
    <t>AVISO PRÉVIO INDENIZADO</t>
  </si>
  <si>
    <t>C.3</t>
  </si>
  <si>
    <t>FÉRIAS INDENIZADAS + GRATIFICAÇÃO</t>
  </si>
  <si>
    <t>C.4</t>
  </si>
  <si>
    <t>INCIDÊNCIA FGTS SOBRE AVISO PRÉVIO INDENIZADO.</t>
  </si>
  <si>
    <t>SUBTOTAL DO GRUPO "C"</t>
  </si>
  <si>
    <t>GRUPO "D" - ( APENAS A INCIDÊNCIA DO 13º E DO FGTS NESTES PERÍODOS )</t>
  </si>
  <si>
    <t>D.1</t>
  </si>
  <si>
    <t>AUXÍLIO ACIDENTE TRABALHO ( &gt; 15 DIAS )</t>
  </si>
  <si>
    <t>SUBTOTAL DO GRUPO "D"</t>
  </si>
  <si>
    <t xml:space="preserve">GRUPO "E" - ( INCIDÊNCIA ACUMULATIVA ) </t>
  </si>
  <si>
    <t>E.1</t>
  </si>
  <si>
    <t xml:space="preserve">REINCIDÊNCIA DO GRUPO "A" SOBRE GRUPO "B" </t>
  </si>
  <si>
    <t>SUBTOTAL DO GRUPO "E"</t>
  </si>
  <si>
    <t>TOTAL GERAL</t>
  </si>
  <si>
    <t>Salário do Encarregado</t>
  </si>
  <si>
    <t>Adicional Noturno</t>
  </si>
  <si>
    <t>I T E M      06     -     S E R V I Ç O      D E     E D U C A Ç Ã O     E     C O N C I E N T I Z A Ç Ã O     A M B I E N T A L</t>
  </si>
  <si>
    <t>Patos de Minas-MG, 16 de Novembro de 2015.</t>
  </si>
  <si>
    <t>Descrição do Veiculo:  VEÍCULO  DE  PASSEIO   1.0     ou   SIMILAR</t>
  </si>
  <si>
    <t>Ano de Fabricação: 2010</t>
  </si>
  <si>
    <t>Tipo de Combustível: Gasolina ou alcool</t>
  </si>
  <si>
    <t>Administrativo</t>
  </si>
  <si>
    <t>CUSTO   DE   VEÍCULO   DE   APOIO   COLETA   DOMICILIAR</t>
  </si>
  <si>
    <t>Higienização de Uniformes / Coletores</t>
  </si>
  <si>
    <t xml:space="preserve">Higienização de Uniformes </t>
  </si>
  <si>
    <t>Pedreiro</t>
  </si>
  <si>
    <t xml:space="preserve"> 1-26</t>
  </si>
  <si>
    <t>Taxas e Emolumentos / Licença  Ambiental</t>
  </si>
  <si>
    <t>Nota Explicativa : 1 - Os campos em branco deverão ser preenchidos de acordo com os custos do proponente.</t>
  </si>
  <si>
    <t>Nota Explicativa : 2 - O carrinho lutocar foi estimado por dupla de varredores</t>
  </si>
  <si>
    <t>Custo fixo total (1.16)</t>
  </si>
  <si>
    <t>Subtotal 1 (4.1 a 4.2)</t>
  </si>
  <si>
    <t>Subtotal 2 (4.3 + 4.4)</t>
  </si>
  <si>
    <t>Subtotal 3 (4.5 + 4.6)</t>
  </si>
  <si>
    <t>PREÇO FINAL POR  Hr.  4-7/( 1 - C )</t>
  </si>
  <si>
    <t>4-9</t>
  </si>
  <si>
    <t>PREÇO UNITÁRIO TOTAL( 4-9 + 4-10 )</t>
  </si>
  <si>
    <t>SUB-TOTAL 1 (2.1 A 2.2)</t>
  </si>
  <si>
    <t>SUB TOTAL 2(2-3 A 2-4)</t>
  </si>
  <si>
    <t>PRECO FIXO FINAL  2-7/( 1 - A )</t>
  </si>
  <si>
    <t>Lucro pretendido(% 2-5)</t>
  </si>
  <si>
    <t>Lucro pretendido(% 2.5)</t>
  </si>
  <si>
    <t>SUB TOTAL 3(2-5 A 2-6)</t>
  </si>
  <si>
    <t>PREÇO FINAL POR KM  4-7/( 1 - C )</t>
  </si>
  <si>
    <t>Preço Variável Mensal (4.8 x Km Estimada )</t>
  </si>
  <si>
    <t>Preço Variável Mensal (4.8 x Hr. Estimada )</t>
  </si>
  <si>
    <t>PREÇO UNITÁRIO  por  Kg ( 4-12 / Kg )</t>
  </si>
  <si>
    <t>2-9</t>
  </si>
  <si>
    <t>PREÇO UNITÁRIO  por  Kg ( 2-8 / Qtde mês )</t>
  </si>
  <si>
    <t>PREÇO TOTAL( 2-8   x  4  equipes )</t>
  </si>
  <si>
    <t>Preço  médio  de   insumos   por   m²</t>
  </si>
  <si>
    <t>PREÇO UNITÁRIO ( 4-9 + 4-10 )</t>
  </si>
  <si>
    <t>PREÇO UNITÁRIO TOTAL( 4-11  X  2 UNIDADES )</t>
  </si>
  <si>
    <t>PREÇO TOTAL( 4-11   x  4  unidades )</t>
  </si>
  <si>
    <t>Preço  médio  da   mão-de-obra   por   m²</t>
  </si>
  <si>
    <t xml:space="preserve">01  VEÍCULO  1.0  PARA  APOIO   </t>
  </si>
  <si>
    <t>4-13 CUSTO VEÍCULO DE APOIO</t>
  </si>
  <si>
    <t>4-14  CUSTO TOTAL DE TRANSPORTE ( 4-13 + 4-12 )</t>
  </si>
  <si>
    <t>Sub Total</t>
  </si>
  <si>
    <t xml:space="preserve"> 1-7-1</t>
  </si>
  <si>
    <t>CUSTO FIXO TOTAL (1.1 a 1.7.1)</t>
  </si>
  <si>
    <t>Administração Local</t>
  </si>
  <si>
    <t xml:space="preserve"> 1-8-1</t>
  </si>
  <si>
    <t>CUSTO FIXO TOTAL (1.6 a 1.8.1)</t>
  </si>
  <si>
    <t xml:space="preserve"> 1-9-1</t>
  </si>
  <si>
    <t>CUSTO FIXO TOTAL (1.6 a 1.9.1)</t>
  </si>
  <si>
    <t>Custo fixo total (1.10)</t>
  </si>
  <si>
    <t xml:space="preserve"> 1-11-1</t>
  </si>
  <si>
    <t>CUSTO FIXO TOTAL (1.1 a 1.11.1)</t>
  </si>
  <si>
    <t xml:space="preserve"> 1-18-1</t>
  </si>
  <si>
    <t>CUSTO FIXO TOTAL (1.1 a 1.18.1)</t>
  </si>
  <si>
    <t>Custo fixo total (1.19)</t>
  </si>
  <si>
    <t xml:space="preserve"> 1-27</t>
  </si>
  <si>
    <t xml:space="preserve"> 1-5-1</t>
  </si>
  <si>
    <t>CUSTO FIXO TOTAL (1.1 a 1.5.1)</t>
  </si>
  <si>
    <t xml:space="preserve">Peças </t>
  </si>
  <si>
    <t xml:space="preserve"> 1-12-1</t>
  </si>
  <si>
    <t>CUSTO FIXO TOTAL (1.1 a 1.12.1)</t>
  </si>
  <si>
    <t>Custo fixo total (1.13)</t>
  </si>
  <si>
    <t xml:space="preserve"> 1-15-1</t>
  </si>
  <si>
    <t>CUSTO FIXO TOTAL (1.1 a 1.15.1)</t>
  </si>
  <si>
    <t>Brita 1</t>
  </si>
  <si>
    <t>Brita 2</t>
  </si>
  <si>
    <t xml:space="preserve"> 1-27-1</t>
  </si>
  <si>
    <t xml:space="preserve"> 1-28</t>
  </si>
  <si>
    <t>CUSTO FIXO TOTAL (1.1 a 1.27.1)</t>
  </si>
  <si>
    <t>Custo fixo total (1.28)</t>
  </si>
  <si>
    <t>Serviços de Topografia</t>
  </si>
  <si>
    <t>PREÇO TOTAL  DA  MÃO-DE-OBRA  POR  TONELADA ( 2-9   /  Tl / Mês )</t>
  </si>
  <si>
    <t xml:space="preserve">EQUIPE  COM  08  MOTORISTAS  e  32  COLETORES  </t>
  </si>
  <si>
    <t>Serviços de Monitoramento</t>
  </si>
  <si>
    <t>Tubo PEAD de 150 mm</t>
  </si>
  <si>
    <t>Serviços de Terraplenagem</t>
  </si>
  <si>
    <t xml:space="preserve"> 1-14-1</t>
  </si>
  <si>
    <t>CUSTO FIXO TOTAL (1.1 a 1.14.1)</t>
  </si>
  <si>
    <t>Custo fixo total (1.15)</t>
  </si>
  <si>
    <t>Tela Biogás</t>
  </si>
  <si>
    <t>m</t>
  </si>
  <si>
    <t>Grama</t>
  </si>
  <si>
    <t xml:space="preserve"> 1-24-1</t>
  </si>
  <si>
    <t>CUSTO FIXO TOTAL (1.1 a 1.24.1)</t>
  </si>
  <si>
    <t>Custo fixo total (1.25)</t>
  </si>
  <si>
    <t>Descrição do Veiculo: CAMINHÃO   COMPACTADOR   DE   LIXO   COM   CAPACIDADE   PARA   12 Tl.  -   Potência mínima de 220 CV</t>
  </si>
  <si>
    <t>Ano de Fabricação do veículo : 2010</t>
  </si>
  <si>
    <t>Ano de Fabricação do compactador : 2015</t>
  </si>
  <si>
    <t>Seguro</t>
  </si>
  <si>
    <t xml:space="preserve">Seguro </t>
  </si>
  <si>
    <t>Produtividade : 2.000 m / indivíduo</t>
  </si>
  <si>
    <t>com   intervalo   de   01:00 Hs   de   refeição</t>
  </si>
  <si>
    <t xml:space="preserve">Qtde Dias : </t>
  </si>
  <si>
    <t>Qtde</t>
  </si>
  <si>
    <t xml:space="preserve">04  EQUIPE  DE  CAPINA  A  SER  SOLICITADA  EVENTUALMENTE,  COMPOSTA  DE  </t>
  </si>
  <si>
    <t>CUSTO  DE  TRANSPORTE</t>
  </si>
  <si>
    <t>Preço  médio  de   Transporte   por   m²</t>
  </si>
  <si>
    <t>INSUMOS  E  MATERIAIS  + 01 ÔNIBUS PARA TRANSPORTE</t>
  </si>
  <si>
    <t>ÔNIBUS</t>
  </si>
  <si>
    <t>valor x 1</t>
  </si>
  <si>
    <t>valor x 4</t>
  </si>
  <si>
    <t>Peças de roçadeiras</t>
  </si>
  <si>
    <t>Fixador para cal</t>
  </si>
  <si>
    <t>(valor * 1) / 192.000</t>
  </si>
  <si>
    <t>(valor * 4) / 768.000</t>
  </si>
  <si>
    <t>Banheiro Químico</t>
  </si>
  <si>
    <t xml:space="preserve">Nota Explicativa : Caso haja divergência de valores nos somatórios dos lotes, considerar 03(três) casas após a vírgula para preço unitário e 02(duas) para preço global.  </t>
  </si>
  <si>
    <t>CUSTO FIXO TOTAL (1.1 a 1.9.1)</t>
  </si>
  <si>
    <t>Higienização banheiro qúimico</t>
  </si>
  <si>
    <t>frequência</t>
  </si>
  <si>
    <t>TRATAMENTO  e  DESTINAÇÃO  FINAL  DE  RSS</t>
  </si>
  <si>
    <t xml:space="preserve">COLETA  DE  LIXO  DOMICILIAR  E  COMERCIAL - PREÇO  POR  Tl.  </t>
  </si>
</sst>
</file>

<file path=xl/styles.xml><?xml version="1.0" encoding="utf-8"?>
<styleSheet xmlns="http://schemas.openxmlformats.org/spreadsheetml/2006/main">
  <numFmts count="6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.00_);\(0.00\)"/>
    <numFmt numFmtId="175" formatCode="0_);\(0\)"/>
    <numFmt numFmtId="176" formatCode="#,##0_ ;\-#,##0\ "/>
    <numFmt numFmtId="177" formatCode="0.0000"/>
    <numFmt numFmtId="178" formatCode="#,##0.0000000_);\(#,##0.0000000\)"/>
    <numFmt numFmtId="179" formatCode="#,##0.0000_);\(#,##0.0000\)"/>
    <numFmt numFmtId="180" formatCode="#,##0.000_);\(#,##0.000\)"/>
    <numFmt numFmtId="181" formatCode="#,##0.00;[Red]#,##0.00"/>
    <numFmt numFmtId="182" formatCode="#,##0.00000;\-#,##0.00000"/>
    <numFmt numFmtId="183" formatCode="#,##0.00000_);\(#,##0.00000\)"/>
    <numFmt numFmtId="184" formatCode="_(* #,##0_);_(* \(#,##0\);_(* &quot;-&quot;??_);_(@_)"/>
    <numFmt numFmtId="185" formatCode="#,##0.000000;\-#,##0.000000"/>
    <numFmt numFmtId="186" formatCode="#,##0.00_ ;\-#,##0.00\ "/>
    <numFmt numFmtId="187" formatCode="#,##0.0;\-#,##0.0"/>
    <numFmt numFmtId="188" formatCode="#,##0.000;\-#,##0.000"/>
    <numFmt numFmtId="189" formatCode="#,##0.0_);\(#,##0.0\)"/>
    <numFmt numFmtId="190" formatCode="_(* #,##0.0000_);_(* \(#,##0.0000\);_(* &quot;-&quot;????_);_(@_)"/>
    <numFmt numFmtId="191" formatCode="0.000_);\(0.000\)"/>
    <numFmt numFmtId="192" formatCode="0.000%"/>
    <numFmt numFmtId="193" formatCode="0.0000%"/>
    <numFmt numFmtId="194" formatCode="0.0%"/>
    <numFmt numFmtId="195" formatCode="_(* #,##0.000_);_(* \(#,##0.000\);_(* &quot;-&quot;??_);_(@_)"/>
    <numFmt numFmtId="196" formatCode="0.0000_);\(0.0000\)"/>
    <numFmt numFmtId="197" formatCode="0.0000000"/>
    <numFmt numFmtId="198" formatCode="0.000000"/>
    <numFmt numFmtId="199" formatCode="0.00000"/>
    <numFmt numFmtId="200" formatCode="0.000"/>
    <numFmt numFmtId="201" formatCode="0.00000000"/>
    <numFmt numFmtId="202" formatCode="0.000000000"/>
    <numFmt numFmtId="203" formatCode="0.0000000000"/>
    <numFmt numFmtId="204" formatCode="0.00000000000"/>
    <numFmt numFmtId="205" formatCode="0.00000_);\(0.00000\)"/>
    <numFmt numFmtId="206" formatCode="0.000000_);\(0.000000\)"/>
    <numFmt numFmtId="207" formatCode="0.0000000_);\(0.0000000\)"/>
    <numFmt numFmtId="208" formatCode="0.00000000_);\(0.00000000\)"/>
    <numFmt numFmtId="209" formatCode="0.000000000_);\(0.000000000\)"/>
    <numFmt numFmtId="210" formatCode="0.0000000000_);\(0.0000000000\)"/>
    <numFmt numFmtId="211" formatCode="0.00000000000_);\(0.00000000000\)"/>
    <numFmt numFmtId="212" formatCode="0.000000000000_);\(0.000000000000\)"/>
    <numFmt numFmtId="213" formatCode="0.0000000000000_);\(0.0000000000000\)"/>
    <numFmt numFmtId="214" formatCode="0.00000000000000_);\(0.00000000000000\)"/>
    <numFmt numFmtId="215" formatCode="0.000000000000000_);\(0.000000000000000\)"/>
    <numFmt numFmtId="216" formatCode="#,##0.0000000;\-#,##0.0000000"/>
    <numFmt numFmtId="217" formatCode="#,##0.000000_);\(#,##0.000000\)"/>
    <numFmt numFmtId="218" formatCode="&quot;R$ &quot;#,##0.000_);\(&quot;R$ &quot;#,##0.000\)"/>
    <numFmt numFmtId="219" formatCode="&quot;R$ &quot;#,##0.0000_);\(&quot;R$ &quot;#,##0.0000\)"/>
    <numFmt numFmtId="220" formatCode="0.00_ ;\-0.00\ "/>
    <numFmt numFmtId="221" formatCode="&quot;R$&quot;\ #,##0.000;\-&quot;R$&quot;\ #,##0.000"/>
    <numFmt numFmtId="222" formatCode="&quot;R$&quot;\ #,##0.0;\-&quot;R$&quot;\ #,##0.0"/>
    <numFmt numFmtId="223" formatCode="&quot;R$ &quot;#,##0.00000_);\(&quot;R$ &quot;#,##0.00000\)"/>
  </numFmts>
  <fonts count="8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b/>
      <sz val="10"/>
      <color indexed="12"/>
      <name val="Times New Roman"/>
      <family val="1"/>
    </font>
    <font>
      <sz val="10"/>
      <color indexed="10"/>
      <name val="Courier"/>
      <family val="3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Courier"/>
      <family val="3"/>
    </font>
    <font>
      <b/>
      <sz val="10"/>
      <name val="Courier"/>
      <family val="3"/>
    </font>
    <font>
      <b/>
      <sz val="12"/>
      <name val="Courier"/>
      <family val="3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8"/>
      <name val="Courier"/>
      <family val="3"/>
    </font>
    <font>
      <b/>
      <sz val="16"/>
      <color indexed="8"/>
      <name val="Times New Roman"/>
      <family val="1"/>
    </font>
    <font>
      <b/>
      <sz val="14"/>
      <color indexed="8"/>
      <name val="Courier"/>
      <family val="3"/>
    </font>
    <font>
      <b/>
      <sz val="14"/>
      <name val="Times New Roman"/>
      <family val="1"/>
    </font>
    <font>
      <b/>
      <sz val="10"/>
      <color indexed="8"/>
      <name val="Courier"/>
      <family val="3"/>
    </font>
    <font>
      <b/>
      <sz val="16"/>
      <name val="Times New Roman"/>
      <family val="1"/>
    </font>
    <font>
      <b/>
      <sz val="12"/>
      <color indexed="8"/>
      <name val="Courier"/>
      <family val="3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20"/>
      <name val="Courier"/>
      <family val="3"/>
    </font>
    <font>
      <b/>
      <sz val="13"/>
      <name val="Times New Roman"/>
      <family val="1"/>
    </font>
    <font>
      <b/>
      <i/>
      <sz val="15"/>
      <name val="Courier"/>
      <family val="3"/>
    </font>
    <font>
      <b/>
      <i/>
      <sz val="15"/>
      <color indexed="12"/>
      <name val="Courier"/>
      <family val="3"/>
    </font>
    <font>
      <b/>
      <i/>
      <sz val="12"/>
      <name val="Courier"/>
      <family val="3"/>
    </font>
    <font>
      <b/>
      <sz val="11"/>
      <name val="Times New Roman"/>
      <family val="1"/>
    </font>
    <font>
      <b/>
      <sz val="15"/>
      <name val="Courier"/>
      <family val="3"/>
    </font>
    <font>
      <b/>
      <sz val="15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2"/>
      <color indexed="12"/>
      <name val="Courier"/>
      <family val="3"/>
    </font>
    <font>
      <sz val="10"/>
      <color indexed="2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Courier"/>
      <family val="3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ourier"/>
      <family val="3"/>
    </font>
    <font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1" fillId="30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7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</cellStyleXfs>
  <cellXfs count="8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fill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fill"/>
      <protection/>
    </xf>
    <xf numFmtId="0" fontId="9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6" fillId="33" borderId="11" xfId="0" applyFont="1" applyFill="1" applyBorder="1" applyAlignment="1" applyProtection="1">
      <alignment horizontal="fill"/>
      <protection/>
    </xf>
    <xf numFmtId="0" fontId="6" fillId="33" borderId="12" xfId="0" applyFont="1" applyFill="1" applyBorder="1" applyAlignment="1" applyProtection="1">
      <alignment horizontal="fill"/>
      <protection/>
    </xf>
    <xf numFmtId="0" fontId="6" fillId="33" borderId="13" xfId="0" applyFont="1" applyFill="1" applyBorder="1" applyAlignment="1" applyProtection="1">
      <alignment horizontal="center"/>
      <protection/>
    </xf>
    <xf numFmtId="175" fontId="6" fillId="34" borderId="12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7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175" fontId="13" fillId="34" borderId="12" xfId="0" applyNumberFormat="1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fill"/>
      <protection/>
    </xf>
    <xf numFmtId="0" fontId="6" fillId="33" borderId="13" xfId="0" applyFont="1" applyFill="1" applyBorder="1" applyAlignment="1" applyProtection="1">
      <alignment horizontal="fill"/>
      <protection/>
    </xf>
    <xf numFmtId="175" fontId="6" fillId="34" borderId="15" xfId="0" applyNumberFormat="1" applyFont="1" applyFill="1" applyBorder="1" applyAlignment="1">
      <alignment horizontal="center"/>
    </xf>
    <xf numFmtId="175" fontId="6" fillId="34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33" borderId="17" xfId="0" applyFont="1" applyFill="1" applyBorder="1" applyAlignment="1" applyProtection="1">
      <alignment horizontal="fill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fill"/>
      <protection/>
    </xf>
    <xf numFmtId="0" fontId="13" fillId="33" borderId="18" xfId="0" applyFont="1" applyFill="1" applyBorder="1" applyAlignment="1" applyProtection="1">
      <alignment horizontal="center"/>
      <protection/>
    </xf>
    <xf numFmtId="37" fontId="6" fillId="34" borderId="16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7" fontId="6" fillId="34" borderId="18" xfId="0" applyNumberFormat="1" applyFont="1" applyFill="1" applyBorder="1" applyAlignment="1">
      <alignment horizontal="center"/>
    </xf>
    <xf numFmtId="7" fontId="6" fillId="34" borderId="19" xfId="0" applyNumberFormat="1" applyFont="1" applyFill="1" applyBorder="1" applyAlignment="1">
      <alignment horizontal="center"/>
    </xf>
    <xf numFmtId="175" fontId="6" fillId="34" borderId="17" xfId="0" applyNumberFormat="1" applyFont="1" applyFill="1" applyBorder="1" applyAlignment="1">
      <alignment horizontal="center"/>
    </xf>
    <xf numFmtId="0" fontId="6" fillId="33" borderId="20" xfId="0" applyFont="1" applyFill="1" applyBorder="1" applyAlignment="1" applyProtection="1">
      <alignment horizontal="center"/>
      <protection/>
    </xf>
    <xf numFmtId="37" fontId="6" fillId="34" borderId="14" xfId="0" applyNumberFormat="1" applyFont="1" applyFill="1" applyBorder="1" applyAlignment="1">
      <alignment horizontal="center"/>
    </xf>
    <xf numFmtId="7" fontId="6" fillId="34" borderId="14" xfId="0" applyNumberFormat="1" applyFont="1" applyFill="1" applyBorder="1" applyAlignment="1">
      <alignment horizontal="center"/>
    </xf>
    <xf numFmtId="7" fontId="5" fillId="33" borderId="21" xfId="0" applyNumberFormat="1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175" fontId="6" fillId="34" borderId="18" xfId="0" applyNumberFormat="1" applyFont="1" applyFill="1" applyBorder="1" applyAlignment="1">
      <alignment horizontal="center"/>
    </xf>
    <xf numFmtId="7" fontId="6" fillId="34" borderId="20" xfId="0" applyNumberFormat="1" applyFont="1" applyFill="1" applyBorder="1" applyAlignment="1">
      <alignment horizontal="center"/>
    </xf>
    <xf numFmtId="175" fontId="6" fillId="34" borderId="14" xfId="0" applyNumberFormat="1" applyFont="1" applyFill="1" applyBorder="1" applyAlignment="1">
      <alignment horizontal="center"/>
    </xf>
    <xf numFmtId="175" fontId="13" fillId="34" borderId="15" xfId="0" applyNumberFormat="1" applyFont="1" applyFill="1" applyBorder="1" applyAlignment="1">
      <alignment horizontal="center"/>
    </xf>
    <xf numFmtId="7" fontId="5" fillId="33" borderId="19" xfId="0" applyNumberFormat="1" applyFont="1" applyFill="1" applyBorder="1" applyAlignment="1" applyProtection="1">
      <alignment horizontal="center"/>
      <protection/>
    </xf>
    <xf numFmtId="175" fontId="6" fillId="34" borderId="12" xfId="0" applyNumberFormat="1" applyFont="1" applyFill="1" applyBorder="1" applyAlignment="1">
      <alignment/>
    </xf>
    <xf numFmtId="175" fontId="6" fillId="34" borderId="10" xfId="0" applyNumberFormat="1" applyFont="1" applyFill="1" applyBorder="1" applyAlignment="1">
      <alignment/>
    </xf>
    <xf numFmtId="0" fontId="6" fillId="33" borderId="14" xfId="0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37" fontId="6" fillId="34" borderId="12" xfId="0" applyNumberFormat="1" applyFont="1" applyFill="1" applyBorder="1" applyAlignment="1">
      <alignment horizontal="center"/>
    </xf>
    <xf numFmtId="7" fontId="14" fillId="0" borderId="10" xfId="0" applyNumberFormat="1" applyFont="1" applyBorder="1" applyAlignment="1">
      <alignment horizontal="center"/>
    </xf>
    <xf numFmtId="0" fontId="13" fillId="34" borderId="14" xfId="0" applyFont="1" applyFill="1" applyBorder="1" applyAlignment="1" applyProtection="1">
      <alignment horizontal="center"/>
      <protection/>
    </xf>
    <xf numFmtId="7" fontId="13" fillId="33" borderId="21" xfId="0" applyNumberFormat="1" applyFont="1" applyFill="1" applyBorder="1" applyAlignment="1" applyProtection="1">
      <alignment horizontal="center"/>
      <protection/>
    </xf>
    <xf numFmtId="175" fontId="6" fillId="34" borderId="24" xfId="0" applyNumberFormat="1" applyFont="1" applyFill="1" applyBorder="1" applyAlignment="1">
      <alignment horizontal="center"/>
    </xf>
    <xf numFmtId="37" fontId="6" fillId="34" borderId="0" xfId="0" applyNumberFormat="1" applyFont="1" applyFill="1" applyBorder="1" applyAlignment="1">
      <alignment horizontal="center"/>
    </xf>
    <xf numFmtId="7" fontId="6" fillId="34" borderId="18" xfId="53" applyNumberFormat="1" applyFont="1" applyFill="1" applyBorder="1" applyAlignment="1">
      <alignment/>
    </xf>
    <xf numFmtId="7" fontId="8" fillId="0" borderId="0" xfId="0" applyNumberFormat="1" applyFont="1" applyAlignment="1">
      <alignment horizontal="center"/>
    </xf>
    <xf numFmtId="37" fontId="15" fillId="33" borderId="20" xfId="0" applyNumberFormat="1" applyFont="1" applyFill="1" applyBorder="1" applyAlignment="1" applyProtection="1">
      <alignment horizontal="center"/>
      <protection/>
    </xf>
    <xf numFmtId="7" fontId="2" fillId="0" borderId="0" xfId="0" applyNumberFormat="1" applyFont="1" applyAlignment="1">
      <alignment/>
    </xf>
    <xf numFmtId="7" fontId="6" fillId="34" borderId="18" xfId="0" applyNumberFormat="1" applyFont="1" applyFill="1" applyBorder="1" applyAlignment="1" applyProtection="1">
      <alignment horizontal="center"/>
      <protection locked="0"/>
    </xf>
    <xf numFmtId="7" fontId="6" fillId="34" borderId="10" xfId="0" applyNumberFormat="1" applyFont="1" applyFill="1" applyBorder="1" applyAlignment="1" applyProtection="1">
      <alignment horizontal="center"/>
      <protection locked="0"/>
    </xf>
    <xf numFmtId="7" fontId="6" fillId="34" borderId="18" xfId="53" applyNumberFormat="1" applyFont="1" applyFill="1" applyBorder="1" applyAlignment="1" applyProtection="1">
      <alignment horizontal="center"/>
      <protection locked="0"/>
    </xf>
    <xf numFmtId="7" fontId="6" fillId="34" borderId="16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3" fillId="33" borderId="21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13" fillId="33" borderId="20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0" xfId="0" applyNumberFormat="1" applyFont="1" applyAlignment="1">
      <alignment/>
    </xf>
    <xf numFmtId="7" fontId="6" fillId="34" borderId="17" xfId="0" applyNumberFormat="1" applyFont="1" applyFill="1" applyBorder="1" applyAlignment="1">
      <alignment horizontal="center"/>
    </xf>
    <xf numFmtId="37" fontId="6" fillId="34" borderId="10" xfId="0" applyNumberFormat="1" applyFont="1" applyFill="1" applyBorder="1" applyAlignment="1">
      <alignment horizontal="center"/>
    </xf>
    <xf numFmtId="176" fontId="6" fillId="34" borderId="18" xfId="53" applyNumberFormat="1" applyFont="1" applyFill="1" applyBorder="1" applyAlignment="1" applyProtection="1">
      <alignment horizontal="center"/>
      <protection/>
    </xf>
    <xf numFmtId="176" fontId="6" fillId="34" borderId="10" xfId="53" applyNumberFormat="1" applyFont="1" applyFill="1" applyBorder="1" applyAlignment="1" applyProtection="1">
      <alignment horizontal="center"/>
      <protection/>
    </xf>
    <xf numFmtId="176" fontId="6" fillId="34" borderId="12" xfId="53" applyNumberFormat="1" applyFont="1" applyFill="1" applyBorder="1" applyAlignment="1" applyProtection="1">
      <alignment horizontal="center"/>
      <protection/>
    </xf>
    <xf numFmtId="176" fontId="6" fillId="34" borderId="14" xfId="53" applyNumberFormat="1" applyFont="1" applyFill="1" applyBorder="1" applyAlignment="1" applyProtection="1">
      <alignment horizontal="center"/>
      <protection/>
    </xf>
    <xf numFmtId="176" fontId="6" fillId="33" borderId="20" xfId="53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20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21" fillId="33" borderId="26" xfId="0" applyFont="1" applyFill="1" applyBorder="1" applyAlignment="1">
      <alignment horizontal="centerContinuous"/>
    </xf>
    <xf numFmtId="0" fontId="5" fillId="33" borderId="26" xfId="0" applyFont="1" applyFill="1" applyBorder="1" applyAlignment="1" applyProtection="1">
      <alignment horizontal="centerContinuous"/>
      <protection/>
    </xf>
    <xf numFmtId="0" fontId="22" fillId="33" borderId="27" xfId="0" applyFont="1" applyFill="1" applyBorder="1" applyAlignment="1">
      <alignment horizontal="centerContinuous"/>
    </xf>
    <xf numFmtId="0" fontId="20" fillId="33" borderId="28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 applyProtection="1">
      <alignment horizontal="centerContinuous"/>
      <protection/>
    </xf>
    <xf numFmtId="0" fontId="2" fillId="33" borderId="29" xfId="0" applyFont="1" applyFill="1" applyBorder="1" applyAlignment="1">
      <alignment/>
    </xf>
    <xf numFmtId="0" fontId="20" fillId="33" borderId="28" xfId="0" applyFont="1" applyFill="1" applyBorder="1" applyAlignment="1" applyProtection="1">
      <alignment horizontal="centerContinuous"/>
      <protection/>
    </xf>
    <xf numFmtId="0" fontId="6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centerContinuous"/>
    </xf>
    <xf numFmtId="0" fontId="24" fillId="33" borderId="29" xfId="0" applyFont="1" applyFill="1" applyBorder="1" applyAlignment="1">
      <alignment horizontal="centerContinuous"/>
    </xf>
    <xf numFmtId="0" fontId="20" fillId="33" borderId="30" xfId="0" applyFont="1" applyFill="1" applyBorder="1" applyAlignment="1" applyProtection="1">
      <alignment horizontal="centerContinuous"/>
      <protection/>
    </xf>
    <xf numFmtId="0" fontId="25" fillId="33" borderId="31" xfId="0" applyFont="1" applyFill="1" applyBorder="1" applyAlignment="1">
      <alignment horizontal="centerContinuous"/>
    </xf>
    <xf numFmtId="0" fontId="24" fillId="33" borderId="32" xfId="0" applyFont="1" applyFill="1" applyBorder="1" applyAlignment="1">
      <alignment horizontal="centerContinuous"/>
    </xf>
    <xf numFmtId="0" fontId="2" fillId="33" borderId="2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14" fillId="33" borderId="33" xfId="0" applyFont="1" applyFill="1" applyBorder="1" applyAlignment="1" applyProtection="1">
      <alignment horizontal="left"/>
      <protection/>
    </xf>
    <xf numFmtId="0" fontId="14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14" fillId="33" borderId="34" xfId="0" applyFont="1" applyFill="1" applyBorder="1" applyAlignment="1">
      <alignment horizontal="centerContinuous"/>
    </xf>
    <xf numFmtId="0" fontId="14" fillId="33" borderId="28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4" fillId="33" borderId="24" xfId="0" applyFont="1" applyFill="1" applyBorder="1" applyAlignment="1" applyProtection="1">
      <alignment horizontal="left"/>
      <protection/>
    </xf>
    <xf numFmtId="0" fontId="14" fillId="33" borderId="35" xfId="0" applyFont="1" applyFill="1" applyBorder="1" applyAlignment="1">
      <alignment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29" xfId="0" applyFont="1" applyFill="1" applyBorder="1" applyAlignment="1">
      <alignment/>
    </xf>
    <xf numFmtId="0" fontId="6" fillId="33" borderId="28" xfId="0" applyFont="1" applyFill="1" applyBorder="1" applyAlignment="1" applyProtection="1">
      <alignment horizontal="left"/>
      <protection/>
    </xf>
    <xf numFmtId="37" fontId="6" fillId="33" borderId="0" xfId="0" applyNumberFormat="1" applyFont="1" applyFill="1" applyBorder="1" applyAlignment="1" applyProtection="1">
      <alignment/>
      <protection/>
    </xf>
    <xf numFmtId="9" fontId="14" fillId="33" borderId="0" xfId="51" applyFont="1" applyFill="1" applyBorder="1" applyAlignment="1">
      <alignment horizontal="left"/>
    </xf>
    <xf numFmtId="0" fontId="6" fillId="33" borderId="30" xfId="0" applyFont="1" applyFill="1" applyBorder="1" applyAlignment="1" applyProtection="1">
      <alignment horizontal="left"/>
      <protection/>
    </xf>
    <xf numFmtId="20" fontId="6" fillId="33" borderId="31" xfId="0" applyNumberFormat="1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6" fillId="33" borderId="31" xfId="0" applyFont="1" applyFill="1" applyBorder="1" applyAlignment="1">
      <alignment horizontal="center"/>
    </xf>
    <xf numFmtId="39" fontId="6" fillId="33" borderId="31" xfId="0" applyNumberFormat="1" applyFont="1" applyFill="1" applyBorder="1" applyAlignment="1" applyProtection="1">
      <alignment/>
      <protection/>
    </xf>
    <xf numFmtId="0" fontId="6" fillId="33" borderId="31" xfId="0" applyFont="1" applyFill="1" applyBorder="1" applyAlignment="1">
      <alignment/>
    </xf>
    <xf numFmtId="39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7" fontId="14" fillId="33" borderId="0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20" fontId="6" fillId="33" borderId="31" xfId="0" applyNumberFormat="1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fill"/>
      <protection/>
    </xf>
    <xf numFmtId="0" fontId="14" fillId="33" borderId="29" xfId="0" applyFont="1" applyFill="1" applyBorder="1" applyAlignment="1" applyProtection="1">
      <alignment horizontal="fill"/>
      <protection/>
    </xf>
    <xf numFmtId="0" fontId="6" fillId="33" borderId="36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37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4" fillId="33" borderId="29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/>
    </xf>
    <xf numFmtId="0" fontId="6" fillId="33" borderId="36" xfId="0" applyFont="1" applyFill="1" applyBorder="1" applyAlignment="1" applyProtection="1">
      <alignment horizontal="fill"/>
      <protection/>
    </xf>
    <xf numFmtId="0" fontId="6" fillId="33" borderId="14" xfId="0" applyFont="1" applyFill="1" applyBorder="1" applyAlignment="1" applyProtection="1">
      <alignment horizontal="fill"/>
      <protection/>
    </xf>
    <xf numFmtId="0" fontId="6" fillId="33" borderId="37" xfId="0" applyFont="1" applyFill="1" applyBorder="1" applyAlignment="1" applyProtection="1">
      <alignment horizontal="fill"/>
      <protection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39" fontId="6" fillId="33" borderId="10" xfId="0" applyNumberFormat="1" applyFont="1" applyFill="1" applyBorder="1" applyAlignment="1" applyProtection="1">
      <alignment/>
      <protection/>
    </xf>
    <xf numFmtId="177" fontId="6" fillId="33" borderId="13" xfId="0" applyNumberFormat="1" applyFont="1" applyFill="1" applyBorder="1" applyAlignment="1" applyProtection="1">
      <alignment horizontal="center"/>
      <protection/>
    </xf>
    <xf numFmtId="37" fontId="6" fillId="33" borderId="10" xfId="0" applyNumberFormat="1" applyFont="1" applyFill="1" applyBorder="1" applyAlignment="1" applyProtection="1">
      <alignment horizontal="center"/>
      <protection/>
    </xf>
    <xf numFmtId="178" fontId="6" fillId="33" borderId="10" xfId="0" applyNumberFormat="1" applyFont="1" applyFill="1" applyBorder="1" applyAlignment="1" applyProtection="1">
      <alignment horizontal="center"/>
      <protection/>
    </xf>
    <xf numFmtId="39" fontId="6" fillId="33" borderId="10" xfId="0" applyNumberFormat="1" applyFont="1" applyFill="1" applyBorder="1" applyAlignment="1" applyProtection="1">
      <alignment horizontal="center"/>
      <protection/>
    </xf>
    <xf numFmtId="179" fontId="6" fillId="33" borderId="16" xfId="0" applyNumberFormat="1" applyFont="1" applyFill="1" applyBorder="1" applyAlignment="1" applyProtection="1">
      <alignment horizontal="center"/>
      <protection/>
    </xf>
    <xf numFmtId="10" fontId="0" fillId="33" borderId="29" xfId="51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 applyProtection="1">
      <alignment horizontal="center"/>
      <protection/>
    </xf>
    <xf numFmtId="37" fontId="6" fillId="33" borderId="10" xfId="0" applyNumberFormat="1" applyFont="1" applyFill="1" applyBorder="1" applyAlignment="1" applyProtection="1">
      <alignment horizontal="left"/>
      <protection/>
    </xf>
    <xf numFmtId="179" fontId="6" fillId="33" borderId="10" xfId="0" applyNumberFormat="1" applyFont="1" applyFill="1" applyBorder="1" applyAlignment="1" applyProtection="1">
      <alignment horizontal="center"/>
      <protection/>
    </xf>
    <xf numFmtId="37" fontId="14" fillId="33" borderId="13" xfId="0" applyNumberFormat="1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 horizontal="center"/>
      <protection/>
    </xf>
    <xf numFmtId="39" fontId="14" fillId="33" borderId="10" xfId="0" applyNumberFormat="1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178" fontId="14" fillId="33" borderId="10" xfId="0" applyNumberFormat="1" applyFont="1" applyFill="1" applyBorder="1" applyAlignment="1" applyProtection="1">
      <alignment horizontal="center"/>
      <protection/>
    </xf>
    <xf numFmtId="39" fontId="14" fillId="33" borderId="16" xfId="0" applyNumberFormat="1" applyFont="1" applyFill="1" applyBorder="1" applyAlignment="1" applyProtection="1">
      <alignment horizontal="center"/>
      <protection/>
    </xf>
    <xf numFmtId="10" fontId="26" fillId="33" borderId="29" xfId="51" applyNumberFormat="1" applyFont="1" applyFill="1" applyBorder="1" applyAlignment="1" applyProtection="1">
      <alignment horizontal="center"/>
      <protection/>
    </xf>
    <xf numFmtId="39" fontId="6" fillId="33" borderId="13" xfId="0" applyNumberFormat="1" applyFont="1" applyFill="1" applyBorder="1" applyAlignment="1" applyProtection="1">
      <alignment horizontal="center"/>
      <protection/>
    </xf>
    <xf numFmtId="37" fontId="14" fillId="33" borderId="10" xfId="0" applyNumberFormat="1" applyFont="1" applyFill="1" applyBorder="1" applyAlignment="1" applyProtection="1">
      <alignment horizontal="center"/>
      <protection/>
    </xf>
    <xf numFmtId="37" fontId="6" fillId="33" borderId="13" xfId="0" applyNumberFormat="1" applyFont="1" applyFill="1" applyBorder="1" applyAlignment="1" applyProtection="1">
      <alignment horizontal="center"/>
      <protection/>
    </xf>
    <xf numFmtId="39" fontId="6" fillId="33" borderId="16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 applyProtection="1">
      <alignment horizontal="left"/>
      <protection/>
    </xf>
    <xf numFmtId="0" fontId="23" fillId="33" borderId="24" xfId="0" applyFont="1" applyFill="1" applyBorder="1" applyAlignment="1">
      <alignment/>
    </xf>
    <xf numFmtId="179" fontId="6" fillId="33" borderId="12" xfId="0" applyNumberFormat="1" applyFont="1" applyFill="1" applyBorder="1" applyAlignment="1" applyProtection="1">
      <alignment horizontal="center"/>
      <protection/>
    </xf>
    <xf numFmtId="10" fontId="0" fillId="33" borderId="38" xfId="51" applyNumberFormat="1" applyFont="1" applyFill="1" applyBorder="1" applyAlignment="1">
      <alignment horizontal="center"/>
    </xf>
    <xf numFmtId="39" fontId="6" fillId="33" borderId="13" xfId="0" applyNumberFormat="1" applyFont="1" applyFill="1" applyBorder="1" applyAlignment="1" applyProtection="1">
      <alignment/>
      <protection/>
    </xf>
    <xf numFmtId="178" fontId="6" fillId="33" borderId="10" xfId="0" applyNumberFormat="1" applyFont="1" applyFill="1" applyBorder="1" applyAlignment="1" applyProtection="1">
      <alignment/>
      <protection/>
    </xf>
    <xf numFmtId="0" fontId="6" fillId="33" borderId="16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39" fontId="6" fillId="33" borderId="24" xfId="0" applyNumberFormat="1" applyFont="1" applyFill="1" applyBorder="1" applyAlignment="1" applyProtection="1">
      <alignment/>
      <protection/>
    </xf>
    <xf numFmtId="179" fontId="6" fillId="33" borderId="17" xfId="0" applyNumberFormat="1" applyFont="1" applyFill="1" applyBorder="1" applyAlignment="1" applyProtection="1">
      <alignment/>
      <protection/>
    </xf>
    <xf numFmtId="0" fontId="0" fillId="33" borderId="39" xfId="0" applyFont="1" applyFill="1" applyBorder="1" applyAlignment="1">
      <alignment/>
    </xf>
    <xf numFmtId="39" fontId="14" fillId="33" borderId="29" xfId="0" applyNumberFormat="1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 horizontal="fill"/>
      <protection/>
    </xf>
    <xf numFmtId="0" fontId="6" fillId="33" borderId="0" xfId="0" applyFont="1" applyFill="1" applyBorder="1" applyAlignment="1" applyProtection="1">
      <alignment horizontal="fill"/>
      <protection/>
    </xf>
    <xf numFmtId="180" fontId="6" fillId="33" borderId="10" xfId="0" applyNumberFormat="1" applyFont="1" applyFill="1" applyBorder="1" applyAlignment="1" applyProtection="1">
      <alignment horizontal="center"/>
      <protection/>
    </xf>
    <xf numFmtId="10" fontId="26" fillId="33" borderId="38" xfId="51" applyNumberFormat="1" applyFont="1" applyFill="1" applyBorder="1" applyAlignment="1" applyProtection="1">
      <alignment horizontal="center"/>
      <protection/>
    </xf>
    <xf numFmtId="0" fontId="6" fillId="33" borderId="28" xfId="0" applyFont="1" applyFill="1" applyBorder="1" applyAlignment="1">
      <alignment/>
    </xf>
    <xf numFmtId="39" fontId="6" fillId="33" borderId="18" xfId="0" applyNumberFormat="1" applyFont="1" applyFill="1" applyBorder="1" applyAlignment="1" applyProtection="1">
      <alignment/>
      <protection/>
    </xf>
    <xf numFmtId="180" fontId="14" fillId="33" borderId="10" xfId="0" applyNumberFormat="1" applyFont="1" applyFill="1" applyBorder="1" applyAlignment="1" applyProtection="1">
      <alignment horizontal="center"/>
      <protection/>
    </xf>
    <xf numFmtId="181" fontId="14" fillId="33" borderId="10" xfId="0" applyNumberFormat="1" applyFont="1" applyFill="1" applyBorder="1" applyAlignment="1" applyProtection="1">
      <alignment horizontal="center"/>
      <protection/>
    </xf>
    <xf numFmtId="1" fontId="14" fillId="33" borderId="16" xfId="0" applyNumberFormat="1" applyFont="1" applyFill="1" applyBorder="1" applyAlignment="1" applyProtection="1">
      <alignment horizontal="center"/>
      <protection/>
    </xf>
    <xf numFmtId="0" fontId="14" fillId="33" borderId="18" xfId="0" applyFont="1" applyFill="1" applyBorder="1" applyAlignment="1" applyProtection="1">
      <alignment horizontal="left"/>
      <protection/>
    </xf>
    <xf numFmtId="179" fontId="14" fillId="33" borderId="10" xfId="0" applyNumberFormat="1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3" fillId="33" borderId="28" xfId="0" applyFont="1" applyFill="1" applyBorder="1" applyAlignment="1">
      <alignment/>
    </xf>
    <xf numFmtId="39" fontId="6" fillId="33" borderId="0" xfId="0" applyNumberFormat="1" applyFont="1" applyFill="1" applyBorder="1" applyAlignment="1" applyProtection="1">
      <alignment horizontal="centerContinuous"/>
      <protection/>
    </xf>
    <xf numFmtId="0" fontId="6" fillId="33" borderId="30" xfId="0" applyFont="1" applyFill="1" applyBorder="1" applyAlignment="1" applyProtection="1">
      <alignment horizontal="fill"/>
      <protection/>
    </xf>
    <xf numFmtId="0" fontId="6" fillId="33" borderId="31" xfId="0" applyFont="1" applyFill="1" applyBorder="1" applyAlignment="1" applyProtection="1">
      <alignment horizontal="fill"/>
      <protection/>
    </xf>
    <xf numFmtId="39" fontId="6" fillId="33" borderId="15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180" fontId="2" fillId="33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0" fillId="33" borderId="29" xfId="0" applyNumberFormat="1" applyFont="1" applyFill="1" applyBorder="1" applyAlignment="1">
      <alignment/>
    </xf>
    <xf numFmtId="2" fontId="14" fillId="33" borderId="16" xfId="0" applyNumberFormat="1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fill"/>
      <protection/>
    </xf>
    <xf numFmtId="0" fontId="6" fillId="33" borderId="22" xfId="0" applyFont="1" applyFill="1" applyBorder="1" applyAlignment="1" applyProtection="1">
      <alignment horizontal="left"/>
      <protection/>
    </xf>
    <xf numFmtId="0" fontId="23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6" fillId="33" borderId="14" xfId="0" applyFont="1" applyFill="1" applyBorder="1" applyAlignment="1" applyProtection="1">
      <alignment horizontal="left"/>
      <protection/>
    </xf>
    <xf numFmtId="0" fontId="6" fillId="33" borderId="23" xfId="0" applyFont="1" applyFill="1" applyBorder="1" applyAlignment="1" applyProtection="1">
      <alignment horizontal="left"/>
      <protection/>
    </xf>
    <xf numFmtId="39" fontId="6" fillId="33" borderId="23" xfId="0" applyNumberFormat="1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23" fillId="33" borderId="18" xfId="0" applyFont="1" applyFill="1" applyBorder="1" applyAlignment="1">
      <alignment/>
    </xf>
    <xf numFmtId="10" fontId="14" fillId="33" borderId="29" xfId="51" applyNumberFormat="1" applyFont="1" applyFill="1" applyBorder="1" applyAlignment="1" applyProtection="1">
      <alignment horizontal="center"/>
      <protection/>
    </xf>
    <xf numFmtId="0" fontId="20" fillId="33" borderId="33" xfId="0" applyFont="1" applyFill="1" applyBorder="1" applyAlignment="1" applyProtection="1">
      <alignment horizontal="centerContinuous"/>
      <protection/>
    </xf>
    <xf numFmtId="0" fontId="20" fillId="33" borderId="24" xfId="0" applyFont="1" applyFill="1" applyBorder="1" applyAlignment="1">
      <alignment horizontal="centerContinuous"/>
    </xf>
    <xf numFmtId="0" fontId="23" fillId="33" borderId="15" xfId="0" applyFont="1" applyFill="1" applyBorder="1" applyAlignment="1">
      <alignment/>
    </xf>
    <xf numFmtId="179" fontId="6" fillId="33" borderId="1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14" fillId="33" borderId="34" xfId="0" applyFont="1" applyFill="1" applyBorder="1" applyAlignment="1" applyProtection="1">
      <alignment horizontal="center"/>
      <protection/>
    </xf>
    <xf numFmtId="0" fontId="23" fillId="33" borderId="12" xfId="0" applyFont="1" applyFill="1" applyBorder="1" applyAlignment="1">
      <alignment/>
    </xf>
    <xf numFmtId="39" fontId="6" fillId="33" borderId="15" xfId="0" applyNumberFormat="1" applyFont="1" applyFill="1" applyBorder="1" applyAlignment="1" applyProtection="1">
      <alignment horizontal="center"/>
      <protection/>
    </xf>
    <xf numFmtId="39" fontId="6" fillId="34" borderId="10" xfId="0" applyNumberFormat="1" applyFont="1" applyFill="1" applyBorder="1" applyAlignment="1" applyProtection="1">
      <alignment horizontal="center"/>
      <protection locked="0"/>
    </xf>
    <xf numFmtId="39" fontId="26" fillId="33" borderId="29" xfId="0" applyNumberFormat="1" applyFont="1" applyFill="1" applyBorder="1" applyAlignment="1" applyProtection="1">
      <alignment/>
      <protection/>
    </xf>
    <xf numFmtId="0" fontId="6" fillId="33" borderId="30" xfId="0" applyFont="1" applyFill="1" applyBorder="1" applyAlignment="1">
      <alignment/>
    </xf>
    <xf numFmtId="39" fontId="6" fillId="33" borderId="14" xfId="0" applyNumberFormat="1" applyFont="1" applyFill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6" fillId="33" borderId="22" xfId="0" applyFont="1" applyFill="1" applyBorder="1" applyAlignment="1">
      <alignment/>
    </xf>
    <xf numFmtId="179" fontId="6" fillId="33" borderId="20" xfId="0" applyNumberFormat="1" applyFont="1" applyFill="1" applyBorder="1" applyAlignment="1" applyProtection="1">
      <alignment horizontal="center"/>
      <protection/>
    </xf>
    <xf numFmtId="10" fontId="8" fillId="33" borderId="38" xfId="51" applyNumberFormat="1" applyFont="1" applyFill="1" applyBorder="1" applyAlignment="1">
      <alignment horizontal="center"/>
    </xf>
    <xf numFmtId="39" fontId="16" fillId="33" borderId="10" xfId="0" applyNumberFormat="1" applyFont="1" applyFill="1" applyBorder="1" applyAlignment="1" applyProtection="1">
      <alignment horizontal="center"/>
      <protection/>
    </xf>
    <xf numFmtId="39" fontId="6" fillId="33" borderId="10" xfId="0" applyNumberFormat="1" applyFont="1" applyFill="1" applyBorder="1" applyAlignment="1">
      <alignment horizontal="center"/>
    </xf>
    <xf numFmtId="0" fontId="20" fillId="33" borderId="25" xfId="0" applyFont="1" applyFill="1" applyBorder="1" applyAlignment="1" applyProtection="1">
      <alignment horizontal="centerContinuous"/>
      <protection/>
    </xf>
    <xf numFmtId="0" fontId="6" fillId="33" borderId="26" xfId="0" applyFont="1" applyFill="1" applyBorder="1" applyAlignment="1">
      <alignment horizontal="centerContinuous"/>
    </xf>
    <xf numFmtId="0" fontId="6" fillId="33" borderId="40" xfId="0" applyFont="1" applyFill="1" applyBorder="1" applyAlignment="1" applyProtection="1">
      <alignment horizontal="centerContinuous"/>
      <protection/>
    </xf>
    <xf numFmtId="0" fontId="6" fillId="33" borderId="41" xfId="0" applyFont="1" applyFill="1" applyBorder="1" applyAlignment="1" applyProtection="1">
      <alignment horizontal="centerContinuous"/>
      <protection/>
    </xf>
    <xf numFmtId="0" fontId="6" fillId="33" borderId="26" xfId="0" applyFont="1" applyFill="1" applyBorder="1" applyAlignment="1" applyProtection="1">
      <alignment horizontal="left"/>
      <protection/>
    </xf>
    <xf numFmtId="0" fontId="6" fillId="33" borderId="26" xfId="0" applyFont="1" applyFill="1" applyBorder="1" applyAlignment="1">
      <alignment/>
    </xf>
    <xf numFmtId="39" fontId="6" fillId="33" borderId="26" xfId="0" applyNumberFormat="1" applyFont="1" applyFill="1" applyBorder="1" applyAlignment="1" applyProtection="1">
      <alignment/>
      <protection/>
    </xf>
    <xf numFmtId="10" fontId="8" fillId="33" borderId="42" xfId="51" applyNumberFormat="1" applyFont="1" applyFill="1" applyBorder="1" applyAlignment="1">
      <alignment horizontal="center"/>
    </xf>
    <xf numFmtId="39" fontId="14" fillId="34" borderId="10" xfId="0" applyNumberFormat="1" applyFont="1" applyFill="1" applyBorder="1" applyAlignment="1" applyProtection="1">
      <alignment horizontal="center"/>
      <protection locked="0"/>
    </xf>
    <xf numFmtId="16" fontId="3" fillId="33" borderId="28" xfId="0" applyNumberFormat="1" applyFont="1" applyFill="1" applyBorder="1" applyAlignment="1" applyProtection="1" quotePrefix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39" fontId="3" fillId="33" borderId="0" xfId="0" applyNumberFormat="1" applyFont="1" applyFill="1" applyBorder="1" applyAlignment="1" applyProtection="1">
      <alignment/>
      <protection/>
    </xf>
    <xf numFmtId="0" fontId="0" fillId="33" borderId="32" xfId="0" applyFont="1" applyFill="1" applyBorder="1" applyAlignment="1">
      <alignment/>
    </xf>
    <xf numFmtId="0" fontId="6" fillId="33" borderId="40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39" fontId="6" fillId="33" borderId="44" xfId="0" applyNumberFormat="1" applyFont="1" applyFill="1" applyBorder="1" applyAlignment="1" applyProtection="1">
      <alignment horizontal="center"/>
      <protection/>
    </xf>
    <xf numFmtId="0" fontId="6" fillId="33" borderId="44" xfId="0" applyFont="1" applyFill="1" applyBorder="1" applyAlignment="1">
      <alignment/>
    </xf>
    <xf numFmtId="0" fontId="6" fillId="33" borderId="44" xfId="0" applyFont="1" applyFill="1" applyBorder="1" applyAlignment="1" applyProtection="1">
      <alignment horizontal="left"/>
      <protection/>
    </xf>
    <xf numFmtId="0" fontId="6" fillId="33" borderId="45" xfId="0" applyFont="1" applyFill="1" applyBorder="1" applyAlignment="1" applyProtection="1">
      <alignment horizontal="left"/>
      <protection/>
    </xf>
    <xf numFmtId="0" fontId="6" fillId="33" borderId="46" xfId="0" applyFont="1" applyFill="1" applyBorder="1" applyAlignment="1">
      <alignment/>
    </xf>
    <xf numFmtId="39" fontId="6" fillId="33" borderId="47" xfId="0" applyNumberFormat="1" applyFont="1" applyFill="1" applyBorder="1" applyAlignment="1" applyProtection="1">
      <alignment horizontal="center"/>
      <protection/>
    </xf>
    <xf numFmtId="10" fontId="14" fillId="33" borderId="48" xfId="51" applyNumberFormat="1" applyFont="1" applyFill="1" applyBorder="1" applyAlignment="1" applyProtection="1">
      <alignment horizontal="center"/>
      <protection/>
    </xf>
    <xf numFmtId="0" fontId="6" fillId="33" borderId="41" xfId="0" applyFont="1" applyFill="1" applyBorder="1" applyAlignment="1">
      <alignment/>
    </xf>
    <xf numFmtId="16" fontId="18" fillId="33" borderId="40" xfId="0" applyNumberFormat="1" applyFont="1" applyFill="1" applyBorder="1" applyAlignment="1" applyProtection="1" quotePrefix="1">
      <alignment horizontal="center"/>
      <protection/>
    </xf>
    <xf numFmtId="0" fontId="18" fillId="33" borderId="41" xfId="0" applyFont="1" applyFill="1" applyBorder="1" applyAlignment="1" applyProtection="1">
      <alignment horizontal="left"/>
      <protection/>
    </xf>
    <xf numFmtId="0" fontId="18" fillId="33" borderId="41" xfId="0" applyFont="1" applyFill="1" applyBorder="1" applyAlignment="1">
      <alignment/>
    </xf>
    <xf numFmtId="43" fontId="18" fillId="33" borderId="41" xfId="53" applyFont="1" applyFill="1" applyBorder="1" applyAlignment="1" applyProtection="1">
      <alignment/>
      <protection/>
    </xf>
    <xf numFmtId="10" fontId="8" fillId="33" borderId="42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39" fontId="27" fillId="0" borderId="0" xfId="0" applyNumberFormat="1" applyFont="1" applyAlignment="1" applyProtection="1">
      <alignment/>
      <protection/>
    </xf>
    <xf numFmtId="179" fontId="27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fill"/>
      <protection/>
    </xf>
    <xf numFmtId="43" fontId="28" fillId="0" borderId="0" xfId="53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10" fontId="7" fillId="0" borderId="0" xfId="51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left"/>
    </xf>
    <xf numFmtId="39" fontId="4" fillId="0" borderId="0" xfId="0" applyNumberFormat="1" applyFont="1" applyAlignment="1" applyProtection="1">
      <alignment/>
      <protection/>
    </xf>
    <xf numFmtId="10" fontId="4" fillId="0" borderId="0" xfId="51" applyNumberFormat="1" applyFont="1" applyAlignment="1" applyProtection="1">
      <alignment/>
      <protection/>
    </xf>
    <xf numFmtId="10" fontId="2" fillId="0" borderId="0" xfId="51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0" fontId="6" fillId="33" borderId="36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79" fontId="6" fillId="33" borderId="16" xfId="0" applyNumberFormat="1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fill"/>
      <protection/>
    </xf>
    <xf numFmtId="39" fontId="6" fillId="33" borderId="16" xfId="0" applyNumberFormat="1" applyFont="1" applyFill="1" applyBorder="1" applyAlignment="1" applyProtection="1">
      <alignment/>
      <protection/>
    </xf>
    <xf numFmtId="39" fontId="6" fillId="33" borderId="14" xfId="0" applyNumberFormat="1" applyFont="1" applyFill="1" applyBorder="1" applyAlignment="1" applyProtection="1">
      <alignment/>
      <protection/>
    </xf>
    <xf numFmtId="39" fontId="6" fillId="33" borderId="37" xfId="0" applyNumberFormat="1" applyFont="1" applyFill="1" applyBorder="1" applyAlignment="1" applyProtection="1">
      <alignment/>
      <protection/>
    </xf>
    <xf numFmtId="0" fontId="23" fillId="33" borderId="33" xfId="0" applyFont="1" applyFill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23" fillId="33" borderId="24" xfId="0" applyFont="1" applyFill="1" applyBorder="1" applyAlignment="1">
      <alignment horizontal="centerContinuous"/>
    </xf>
    <xf numFmtId="39" fontId="6" fillId="33" borderId="24" xfId="0" applyNumberFormat="1" applyFont="1" applyFill="1" applyBorder="1" applyAlignment="1" applyProtection="1">
      <alignment horizontal="centerContinuous"/>
      <protection/>
    </xf>
    <xf numFmtId="16" fontId="14" fillId="33" borderId="40" xfId="0" applyNumberFormat="1" applyFont="1" applyFill="1" applyBorder="1" applyAlignment="1" applyProtection="1" quotePrefix="1">
      <alignment horizontal="center"/>
      <protection/>
    </xf>
    <xf numFmtId="0" fontId="14" fillId="33" borderId="41" xfId="0" applyFont="1" applyFill="1" applyBorder="1" applyAlignment="1" applyProtection="1">
      <alignment horizontal="left"/>
      <protection/>
    </xf>
    <xf numFmtId="0" fontId="14" fillId="33" borderId="41" xfId="0" applyFont="1" applyFill="1" applyBorder="1" applyAlignment="1">
      <alignment/>
    </xf>
    <xf numFmtId="43" fontId="14" fillId="33" borderId="41" xfId="53" applyFont="1" applyFill="1" applyBorder="1" applyAlignment="1" applyProtection="1">
      <alignment/>
      <protection/>
    </xf>
    <xf numFmtId="16" fontId="22" fillId="33" borderId="49" xfId="0" applyNumberFormat="1" applyFont="1" applyFill="1" applyBorder="1" applyAlignment="1" applyProtection="1" quotePrefix="1">
      <alignment horizontal="center"/>
      <protection/>
    </xf>
    <xf numFmtId="0" fontId="22" fillId="33" borderId="50" xfId="0" applyFont="1" applyFill="1" applyBorder="1" applyAlignment="1" applyProtection="1">
      <alignment horizontal="left"/>
      <protection/>
    </xf>
    <xf numFmtId="0" fontId="14" fillId="33" borderId="50" xfId="0" applyFont="1" applyFill="1" applyBorder="1" applyAlignment="1">
      <alignment/>
    </xf>
    <xf numFmtId="0" fontId="14" fillId="33" borderId="50" xfId="0" applyFont="1" applyFill="1" applyBorder="1" applyAlignment="1" applyProtection="1">
      <alignment horizontal="left"/>
      <protection/>
    </xf>
    <xf numFmtId="0" fontId="0" fillId="33" borderId="5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43" fontId="30" fillId="33" borderId="52" xfId="53" applyFont="1" applyFill="1" applyBorder="1" applyAlignment="1" applyProtection="1">
      <alignment/>
      <protection/>
    </xf>
    <xf numFmtId="0" fontId="31" fillId="33" borderId="49" xfId="0" applyFont="1" applyFill="1" applyBorder="1" applyAlignment="1">
      <alignment/>
    </xf>
    <xf numFmtId="0" fontId="32" fillId="33" borderId="50" xfId="0" applyFont="1" applyFill="1" applyBorder="1" applyAlignment="1">
      <alignment/>
    </xf>
    <xf numFmtId="0" fontId="23" fillId="33" borderId="50" xfId="0" applyFont="1" applyFill="1" applyBorder="1" applyAlignment="1">
      <alignment/>
    </xf>
    <xf numFmtId="0" fontId="23" fillId="33" borderId="51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9" fontId="18" fillId="35" borderId="0" xfId="51" applyFont="1" applyFill="1" applyBorder="1" applyAlignment="1">
      <alignment horizontal="center"/>
    </xf>
    <xf numFmtId="16" fontId="13" fillId="33" borderId="28" xfId="0" applyNumberFormat="1" applyFont="1" applyFill="1" applyBorder="1" applyAlignment="1" applyProtection="1" quotePrefix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>
      <alignment/>
    </xf>
    <xf numFmtId="39" fontId="13" fillId="33" borderId="0" xfId="0" applyNumberFormat="1" applyFont="1" applyFill="1" applyBorder="1" applyAlignment="1" applyProtection="1">
      <alignment/>
      <protection/>
    </xf>
    <xf numFmtId="0" fontId="22" fillId="33" borderId="50" xfId="0" applyFont="1" applyFill="1" applyBorder="1" applyAlignment="1">
      <alignment/>
    </xf>
    <xf numFmtId="43" fontId="22" fillId="33" borderId="51" xfId="53" applyFont="1" applyFill="1" applyBorder="1" applyAlignment="1" applyProtection="1">
      <alignment/>
      <protection/>
    </xf>
    <xf numFmtId="10" fontId="8" fillId="33" borderId="51" xfId="0" applyNumberFormat="1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3" fontId="14" fillId="33" borderId="26" xfId="0" applyNumberFormat="1" applyFont="1" applyFill="1" applyBorder="1" applyAlignment="1">
      <alignment horizontal="center"/>
    </xf>
    <xf numFmtId="0" fontId="14" fillId="33" borderId="53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39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14" fillId="33" borderId="39" xfId="0" applyFont="1" applyFill="1" applyBorder="1" applyAlignment="1">
      <alignment horizontal="center"/>
    </xf>
    <xf numFmtId="0" fontId="2" fillId="33" borderId="50" xfId="0" applyFont="1" applyFill="1" applyBorder="1" applyAlignment="1">
      <alignment/>
    </xf>
    <xf numFmtId="39" fontId="14" fillId="33" borderId="51" xfId="0" applyNumberFormat="1" applyFont="1" applyFill="1" applyBorder="1" applyAlignment="1">
      <alignment horizontal="center"/>
    </xf>
    <xf numFmtId="0" fontId="22" fillId="36" borderId="49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6" borderId="51" xfId="0" applyFont="1" applyFill="1" applyBorder="1" applyAlignment="1">
      <alignment/>
    </xf>
    <xf numFmtId="2" fontId="22" fillId="36" borderId="51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0" fontId="5" fillId="33" borderId="54" xfId="0" applyFont="1" applyFill="1" applyBorder="1" applyAlignment="1">
      <alignment horizontal="centerContinuous"/>
    </xf>
    <xf numFmtId="181" fontId="14" fillId="34" borderId="10" xfId="0" applyNumberFormat="1" applyFont="1" applyFill="1" applyBorder="1" applyAlignment="1" applyProtection="1">
      <alignment horizontal="center"/>
      <protection locked="0"/>
    </xf>
    <xf numFmtId="39" fontId="14" fillId="33" borderId="13" xfId="0" applyNumberFormat="1" applyFont="1" applyFill="1" applyBorder="1" applyAlignment="1" applyProtection="1">
      <alignment horizontal="center"/>
      <protection/>
    </xf>
    <xf numFmtId="0" fontId="14" fillId="33" borderId="49" xfId="0" applyFont="1" applyFill="1" applyBorder="1" applyAlignment="1">
      <alignment/>
    </xf>
    <xf numFmtId="2" fontId="36" fillId="33" borderId="51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10" fontId="26" fillId="33" borderId="34" xfId="51" applyNumberFormat="1" applyFont="1" applyFill="1" applyBorder="1" applyAlignment="1" applyProtection="1">
      <alignment horizontal="center"/>
      <protection/>
    </xf>
    <xf numFmtId="39" fontId="13" fillId="33" borderId="47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Alignment="1">
      <alignment/>
    </xf>
    <xf numFmtId="0" fontId="6" fillId="34" borderId="0" xfId="0" applyFont="1" applyFill="1" applyBorder="1" applyAlignment="1">
      <alignment/>
    </xf>
    <xf numFmtId="39" fontId="6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left"/>
      <protection/>
    </xf>
    <xf numFmtId="10" fontId="14" fillId="34" borderId="0" xfId="51" applyNumberFormat="1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horizontal="left"/>
      <protection/>
    </xf>
    <xf numFmtId="0" fontId="14" fillId="33" borderId="40" xfId="0" applyFont="1" applyFill="1" applyBorder="1" applyAlignment="1">
      <alignment/>
    </xf>
    <xf numFmtId="39" fontId="14" fillId="33" borderId="55" xfId="0" applyNumberFormat="1" applyFont="1" applyFill="1" applyBorder="1" applyAlignment="1">
      <alignment horizontal="center"/>
    </xf>
    <xf numFmtId="0" fontId="2" fillId="33" borderId="55" xfId="0" applyFont="1" applyFill="1" applyBorder="1" applyAlignment="1">
      <alignment/>
    </xf>
    <xf numFmtId="182" fontId="6" fillId="33" borderId="10" xfId="0" applyNumberFormat="1" applyFont="1" applyFill="1" applyBorder="1" applyAlignment="1" applyProtection="1">
      <alignment horizontal="center"/>
      <protection/>
    </xf>
    <xf numFmtId="183" fontId="6" fillId="33" borderId="10" xfId="0" applyNumberFormat="1" applyFont="1" applyFill="1" applyBorder="1" applyAlignment="1" applyProtection="1">
      <alignment horizontal="center"/>
      <protection/>
    </xf>
    <xf numFmtId="0" fontId="20" fillId="33" borderId="16" xfId="0" applyFont="1" applyFill="1" applyBorder="1" applyAlignment="1">
      <alignment horizontal="centerContinuous"/>
    </xf>
    <xf numFmtId="0" fontId="21" fillId="33" borderId="0" xfId="0" applyFont="1" applyFill="1" applyBorder="1" applyAlignment="1">
      <alignment horizontal="centerContinuous"/>
    </xf>
    <xf numFmtId="0" fontId="22" fillId="33" borderId="56" xfId="0" applyFont="1" applyFill="1" applyBorder="1" applyAlignment="1">
      <alignment horizontal="centerContinuous"/>
    </xf>
    <xf numFmtId="0" fontId="24" fillId="33" borderId="10" xfId="0" applyFont="1" applyFill="1" applyBorder="1" applyAlignment="1">
      <alignment horizontal="centerContinuous"/>
    </xf>
    <xf numFmtId="0" fontId="0" fillId="33" borderId="10" xfId="0" applyFont="1" applyFill="1" applyBorder="1" applyAlignment="1">
      <alignment/>
    </xf>
    <xf numFmtId="0" fontId="14" fillId="33" borderId="14" xfId="0" applyFont="1" applyFill="1" applyBorder="1" applyAlignment="1">
      <alignment horizontal="centerContinuous"/>
    </xf>
    <xf numFmtId="39" fontId="6" fillId="33" borderId="28" xfId="0" applyNumberFormat="1" applyFont="1" applyFill="1" applyBorder="1" applyAlignment="1" applyProtection="1">
      <alignment/>
      <protection/>
    </xf>
    <xf numFmtId="180" fontId="14" fillId="33" borderId="0" xfId="0" applyNumberFormat="1" applyFont="1" applyFill="1" applyBorder="1" applyAlignment="1" applyProtection="1">
      <alignment horizontal="center"/>
      <protection/>
    </xf>
    <xf numFmtId="39" fontId="14" fillId="33" borderId="0" xfId="0" applyNumberFormat="1" applyFont="1" applyFill="1" applyBorder="1" applyAlignment="1" applyProtection="1">
      <alignment horizontal="center"/>
      <protection/>
    </xf>
    <xf numFmtId="37" fontId="6" fillId="33" borderId="28" xfId="0" applyNumberFormat="1" applyFont="1" applyFill="1" applyBorder="1" applyAlignment="1" applyProtection="1">
      <alignment horizontal="center"/>
      <protection/>
    </xf>
    <xf numFmtId="180" fontId="6" fillId="33" borderId="0" xfId="0" applyNumberFormat="1" applyFont="1" applyFill="1" applyBorder="1" applyAlignment="1" applyProtection="1">
      <alignment horizontal="center"/>
      <protection/>
    </xf>
    <xf numFmtId="39" fontId="6" fillId="33" borderId="0" xfId="0" applyNumberFormat="1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9" fontId="6" fillId="33" borderId="12" xfId="0" applyNumberFormat="1" applyFont="1" applyFill="1" applyBorder="1" applyAlignment="1" applyProtection="1">
      <alignment horizontal="center"/>
      <protection/>
    </xf>
    <xf numFmtId="16" fontId="24" fillId="33" borderId="49" xfId="0" applyNumberFormat="1" applyFont="1" applyFill="1" applyBorder="1" applyAlignment="1" applyProtection="1" quotePrefix="1">
      <alignment horizontal="center"/>
      <protection/>
    </xf>
    <xf numFmtId="0" fontId="24" fillId="33" borderId="50" xfId="0" applyFont="1" applyFill="1" applyBorder="1" applyAlignment="1" applyProtection="1">
      <alignment horizontal="left"/>
      <protection/>
    </xf>
    <xf numFmtId="43" fontId="22" fillId="33" borderId="50" xfId="53" applyFont="1" applyFill="1" applyBorder="1" applyAlignment="1" applyProtection="1">
      <alignment/>
      <protection/>
    </xf>
    <xf numFmtId="39" fontId="18" fillId="33" borderId="52" xfId="53" applyNumberFormat="1" applyFont="1" applyFill="1" applyBorder="1" applyAlignment="1">
      <alignment horizontal="center"/>
    </xf>
    <xf numFmtId="39" fontId="2" fillId="0" borderId="0" xfId="53" applyNumberFormat="1" applyFont="1" applyAlignment="1">
      <alignment/>
    </xf>
    <xf numFmtId="0" fontId="36" fillId="33" borderId="49" xfId="0" applyFont="1" applyFill="1" applyBorder="1" applyAlignment="1">
      <alignment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184" fontId="18" fillId="33" borderId="21" xfId="53" applyNumberFormat="1" applyFont="1" applyFill="1" applyBorder="1" applyAlignment="1">
      <alignment horizontal="left"/>
    </xf>
    <xf numFmtId="0" fontId="13" fillId="33" borderId="30" xfId="0" applyFont="1" applyFill="1" applyBorder="1" applyAlignment="1" applyProtection="1">
      <alignment horizontal="left"/>
      <protection/>
    </xf>
    <xf numFmtId="20" fontId="6" fillId="33" borderId="31" xfId="0" applyNumberFormat="1" applyFont="1" applyFill="1" applyBorder="1" applyAlignment="1">
      <alignment horizontal="center"/>
    </xf>
    <xf numFmtId="9" fontId="6" fillId="33" borderId="13" xfId="0" applyNumberFormat="1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4" xfId="0" applyFont="1" applyFill="1" applyBorder="1" applyAlignment="1" applyProtection="1">
      <alignment horizontal="left"/>
      <protection/>
    </xf>
    <xf numFmtId="179" fontId="6" fillId="33" borderId="17" xfId="0" applyNumberFormat="1" applyFont="1" applyFill="1" applyBorder="1" applyAlignment="1" applyProtection="1">
      <alignment horizontal="center"/>
      <protection/>
    </xf>
    <xf numFmtId="10" fontId="0" fillId="33" borderId="39" xfId="51" applyNumberFormat="1" applyFont="1" applyFill="1" applyBorder="1" applyAlignment="1">
      <alignment horizontal="center"/>
    </xf>
    <xf numFmtId="179" fontId="6" fillId="33" borderId="18" xfId="0" applyNumberFormat="1" applyFont="1" applyFill="1" applyBorder="1" applyAlignment="1" applyProtection="1">
      <alignment/>
      <protection/>
    </xf>
    <xf numFmtId="39" fontId="6" fillId="33" borderId="19" xfId="0" applyNumberFormat="1" applyFont="1" applyFill="1" applyBorder="1" applyAlignment="1" applyProtection="1">
      <alignment/>
      <protection/>
    </xf>
    <xf numFmtId="39" fontId="38" fillId="33" borderId="13" xfId="0" applyNumberFormat="1" applyFont="1" applyFill="1" applyBorder="1" applyAlignment="1" applyProtection="1">
      <alignment/>
      <protection/>
    </xf>
    <xf numFmtId="0" fontId="38" fillId="33" borderId="10" xfId="0" applyFont="1" applyFill="1" applyBorder="1" applyAlignment="1">
      <alignment/>
    </xf>
    <xf numFmtId="39" fontId="38" fillId="33" borderId="10" xfId="0" applyNumberFormat="1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left"/>
      <protection/>
    </xf>
    <xf numFmtId="180" fontId="38" fillId="33" borderId="10" xfId="0" applyNumberFormat="1" applyFont="1" applyFill="1" applyBorder="1" applyAlignment="1" applyProtection="1">
      <alignment horizontal="center"/>
      <protection/>
    </xf>
    <xf numFmtId="181" fontId="38" fillId="33" borderId="10" xfId="0" applyNumberFormat="1" applyFont="1" applyFill="1" applyBorder="1" applyAlignment="1" applyProtection="1">
      <alignment horizontal="center"/>
      <protection/>
    </xf>
    <xf numFmtId="39" fontId="38" fillId="33" borderId="16" xfId="0" applyNumberFormat="1" applyFont="1" applyFill="1" applyBorder="1" applyAlignment="1" applyProtection="1">
      <alignment horizontal="center"/>
      <protection/>
    </xf>
    <xf numFmtId="10" fontId="28" fillId="33" borderId="29" xfId="51" applyNumberFormat="1" applyFont="1" applyFill="1" applyBorder="1" applyAlignment="1" applyProtection="1">
      <alignment horizontal="center"/>
      <protection/>
    </xf>
    <xf numFmtId="185" fontId="6" fillId="33" borderId="10" xfId="0" applyNumberFormat="1" applyFont="1" applyFill="1" applyBorder="1" applyAlignment="1" applyProtection="1">
      <alignment horizontal="center"/>
      <protection/>
    </xf>
    <xf numFmtId="0" fontId="22" fillId="33" borderId="29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centerContinuous"/>
    </xf>
    <xf numFmtId="37" fontId="14" fillId="33" borderId="0" xfId="0" applyNumberFormat="1" applyFont="1" applyFill="1" applyBorder="1" applyAlignment="1" applyProtection="1">
      <alignment/>
      <protection/>
    </xf>
    <xf numFmtId="0" fontId="14" fillId="33" borderId="30" xfId="0" applyFont="1" applyFill="1" applyBorder="1" applyAlignment="1" applyProtection="1">
      <alignment horizontal="left"/>
      <protection/>
    </xf>
    <xf numFmtId="20" fontId="14" fillId="33" borderId="31" xfId="0" applyNumberFormat="1" applyFont="1" applyFill="1" applyBorder="1" applyAlignment="1" applyProtection="1">
      <alignment/>
      <protection/>
    </xf>
    <xf numFmtId="0" fontId="14" fillId="33" borderId="31" xfId="0" applyFont="1" applyFill="1" applyBorder="1" applyAlignment="1" applyProtection="1">
      <alignment horizontal="center"/>
      <protection/>
    </xf>
    <xf numFmtId="0" fontId="14" fillId="33" borderId="31" xfId="0" applyFont="1" applyFill="1" applyBorder="1" applyAlignment="1">
      <alignment horizontal="center"/>
    </xf>
    <xf numFmtId="39" fontId="14" fillId="33" borderId="31" xfId="0" applyNumberFormat="1" applyFont="1" applyFill="1" applyBorder="1" applyAlignment="1" applyProtection="1">
      <alignment/>
      <protection/>
    </xf>
    <xf numFmtId="0" fontId="14" fillId="33" borderId="31" xfId="0" applyFont="1" applyFill="1" applyBorder="1" applyAlignment="1">
      <alignment/>
    </xf>
    <xf numFmtId="20" fontId="14" fillId="33" borderId="31" xfId="0" applyNumberFormat="1" applyFont="1" applyFill="1" applyBorder="1" applyAlignment="1" applyProtection="1">
      <alignment horizontal="center"/>
      <protection/>
    </xf>
    <xf numFmtId="179" fontId="6" fillId="33" borderId="10" xfId="0" applyNumberFormat="1" applyFont="1" applyFill="1" applyBorder="1" applyAlignment="1" applyProtection="1">
      <alignment/>
      <protection/>
    </xf>
    <xf numFmtId="178" fontId="14" fillId="33" borderId="10" xfId="0" applyNumberFormat="1" applyFont="1" applyFill="1" applyBorder="1" applyAlignment="1" applyProtection="1">
      <alignment/>
      <protection/>
    </xf>
    <xf numFmtId="39" fontId="14" fillId="33" borderId="10" xfId="0" applyNumberFormat="1" applyFont="1" applyFill="1" applyBorder="1" applyAlignment="1" applyProtection="1">
      <alignment/>
      <protection/>
    </xf>
    <xf numFmtId="39" fontId="14" fillId="33" borderId="16" xfId="0" applyNumberFormat="1" applyFont="1" applyFill="1" applyBorder="1" applyAlignment="1" applyProtection="1">
      <alignment/>
      <protection/>
    </xf>
    <xf numFmtId="179" fontId="6" fillId="33" borderId="20" xfId="0" applyNumberFormat="1" applyFont="1" applyFill="1" applyBorder="1" applyAlignment="1" applyProtection="1">
      <alignment/>
      <protection/>
    </xf>
    <xf numFmtId="2" fontId="14" fillId="33" borderId="16" xfId="0" applyNumberFormat="1" applyFont="1" applyFill="1" applyBorder="1" applyAlignment="1" applyProtection="1">
      <alignment/>
      <protection/>
    </xf>
    <xf numFmtId="181" fontId="14" fillId="33" borderId="10" xfId="0" applyNumberFormat="1" applyFont="1" applyFill="1" applyBorder="1" applyAlignment="1" applyProtection="1">
      <alignment horizontal="right"/>
      <protection/>
    </xf>
    <xf numFmtId="39" fontId="6" fillId="33" borderId="23" xfId="0" applyNumberFormat="1" applyFont="1" applyFill="1" applyBorder="1" applyAlignment="1" applyProtection="1">
      <alignment/>
      <protection/>
    </xf>
    <xf numFmtId="179" fontId="6" fillId="33" borderId="10" xfId="0" applyNumberFormat="1" applyFont="1" applyFill="1" applyBorder="1" applyAlignment="1">
      <alignment/>
    </xf>
    <xf numFmtId="0" fontId="3" fillId="33" borderId="28" xfId="0" applyFont="1" applyFill="1" applyBorder="1" applyAlignment="1" applyProtection="1" quotePrefix="1">
      <alignment horizontal="center"/>
      <protection/>
    </xf>
    <xf numFmtId="0" fontId="2" fillId="37" borderId="0" xfId="0" applyFont="1" applyFill="1" applyAlignment="1">
      <alignment/>
    </xf>
    <xf numFmtId="0" fontId="20" fillId="37" borderId="25" xfId="0" applyFont="1" applyFill="1" applyBorder="1" applyAlignment="1">
      <alignment horizontal="centerContinuous"/>
    </xf>
    <xf numFmtId="0" fontId="5" fillId="37" borderId="26" xfId="0" applyFont="1" applyFill="1" applyBorder="1" applyAlignment="1">
      <alignment horizontal="centerContinuous"/>
    </xf>
    <xf numFmtId="0" fontId="21" fillId="37" borderId="26" xfId="0" applyFont="1" applyFill="1" applyBorder="1" applyAlignment="1">
      <alignment horizontal="centerContinuous"/>
    </xf>
    <xf numFmtId="0" fontId="5" fillId="37" borderId="26" xfId="0" applyFont="1" applyFill="1" applyBorder="1" applyAlignment="1" applyProtection="1">
      <alignment horizontal="centerContinuous"/>
      <protection/>
    </xf>
    <xf numFmtId="0" fontId="22" fillId="37" borderId="27" xfId="0" applyFont="1" applyFill="1" applyBorder="1" applyAlignment="1">
      <alignment horizontal="centerContinuous"/>
    </xf>
    <xf numFmtId="0" fontId="20" fillId="37" borderId="28" xfId="0" applyFont="1" applyFill="1" applyBorder="1" applyAlignment="1">
      <alignment horizontal="centerContinuous"/>
    </xf>
    <xf numFmtId="0" fontId="5" fillId="37" borderId="0" xfId="0" applyFont="1" applyFill="1" applyBorder="1" applyAlignment="1">
      <alignment horizontal="centerContinuous"/>
    </xf>
    <xf numFmtId="0" fontId="5" fillId="37" borderId="0" xfId="0" applyFont="1" applyFill="1" applyBorder="1" applyAlignment="1" applyProtection="1">
      <alignment horizontal="centerContinuous"/>
      <protection/>
    </xf>
    <xf numFmtId="0" fontId="2" fillId="37" borderId="29" xfId="0" applyFont="1" applyFill="1" applyBorder="1" applyAlignment="1">
      <alignment/>
    </xf>
    <xf numFmtId="0" fontId="20" fillId="37" borderId="28" xfId="0" applyFont="1" applyFill="1" applyBorder="1" applyAlignment="1" applyProtection="1">
      <alignment horizontal="centerContinuous"/>
      <protection/>
    </xf>
    <xf numFmtId="0" fontId="6" fillId="37" borderId="0" xfId="0" applyFont="1" applyFill="1" applyBorder="1" applyAlignment="1">
      <alignment horizontal="centerContinuous"/>
    </xf>
    <xf numFmtId="0" fontId="23" fillId="37" borderId="0" xfId="0" applyFont="1" applyFill="1" applyBorder="1" applyAlignment="1">
      <alignment horizontal="centerContinuous"/>
    </xf>
    <xf numFmtId="0" fontId="24" fillId="37" borderId="29" xfId="0" applyFont="1" applyFill="1" applyBorder="1" applyAlignment="1">
      <alignment horizontal="centerContinuous"/>
    </xf>
    <xf numFmtId="0" fontId="20" fillId="37" borderId="30" xfId="0" applyFont="1" applyFill="1" applyBorder="1" applyAlignment="1" applyProtection="1">
      <alignment horizontal="centerContinuous"/>
      <protection/>
    </xf>
    <xf numFmtId="0" fontId="25" fillId="37" borderId="31" xfId="0" applyFont="1" applyFill="1" applyBorder="1" applyAlignment="1">
      <alignment horizontal="centerContinuous"/>
    </xf>
    <xf numFmtId="0" fontId="24" fillId="37" borderId="32" xfId="0" applyFont="1" applyFill="1" applyBorder="1" applyAlignment="1">
      <alignment horizontal="centerContinuous"/>
    </xf>
    <xf numFmtId="0" fontId="2" fillId="37" borderId="28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14" fillId="37" borderId="33" xfId="0" applyFont="1" applyFill="1" applyBorder="1" applyAlignment="1" applyProtection="1">
      <alignment horizontal="left"/>
      <protection/>
    </xf>
    <xf numFmtId="0" fontId="14" fillId="37" borderId="24" xfId="0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14" fillId="37" borderId="34" xfId="0" applyFont="1" applyFill="1" applyBorder="1" applyAlignment="1">
      <alignment horizontal="centerContinuous"/>
    </xf>
    <xf numFmtId="0" fontId="14" fillId="37" borderId="28" xfId="0" applyFont="1" applyFill="1" applyBorder="1" applyAlignment="1" applyProtection="1">
      <alignment horizontal="left"/>
      <protection/>
    </xf>
    <xf numFmtId="0" fontId="14" fillId="37" borderId="0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14" fillId="37" borderId="24" xfId="0" applyFont="1" applyFill="1" applyBorder="1" applyAlignment="1" applyProtection="1">
      <alignment horizontal="left"/>
      <protection/>
    </xf>
    <xf numFmtId="0" fontId="14" fillId="37" borderId="35" xfId="0" applyFont="1" applyFill="1" applyBorder="1" applyAlignment="1">
      <alignment/>
    </xf>
    <xf numFmtId="0" fontId="14" fillId="37" borderId="0" xfId="0" applyFont="1" applyFill="1" applyBorder="1" applyAlignment="1" applyProtection="1">
      <alignment horizontal="left"/>
      <protection/>
    </xf>
    <xf numFmtId="0" fontId="14" fillId="37" borderId="29" xfId="0" applyFont="1" applyFill="1" applyBorder="1" applyAlignment="1">
      <alignment/>
    </xf>
    <xf numFmtId="0" fontId="6" fillId="37" borderId="28" xfId="0" applyFont="1" applyFill="1" applyBorder="1" applyAlignment="1" applyProtection="1">
      <alignment horizontal="left"/>
      <protection/>
    </xf>
    <xf numFmtId="37" fontId="6" fillId="37" borderId="0" xfId="0" applyNumberFormat="1" applyFont="1" applyFill="1" applyBorder="1" applyAlignment="1" applyProtection="1">
      <alignment/>
      <protection/>
    </xf>
    <xf numFmtId="9" fontId="14" fillId="37" borderId="0" xfId="51" applyFont="1" applyFill="1" applyBorder="1" applyAlignment="1">
      <alignment horizontal="left"/>
    </xf>
    <xf numFmtId="0" fontId="6" fillId="37" borderId="30" xfId="0" applyFont="1" applyFill="1" applyBorder="1" applyAlignment="1" applyProtection="1">
      <alignment horizontal="left"/>
      <protection/>
    </xf>
    <xf numFmtId="20" fontId="6" fillId="37" borderId="31" xfId="0" applyNumberFormat="1" applyFont="1" applyFill="1" applyBorder="1" applyAlignment="1" applyProtection="1">
      <alignment/>
      <protection/>
    </xf>
    <xf numFmtId="0" fontId="6" fillId="37" borderId="31" xfId="0" applyFont="1" applyFill="1" applyBorder="1" applyAlignment="1" applyProtection="1">
      <alignment horizontal="center"/>
      <protection/>
    </xf>
    <xf numFmtId="0" fontId="6" fillId="37" borderId="31" xfId="0" applyFont="1" applyFill="1" applyBorder="1" applyAlignment="1">
      <alignment horizontal="center"/>
    </xf>
    <xf numFmtId="39" fontId="6" fillId="37" borderId="31" xfId="0" applyNumberFormat="1" applyFont="1" applyFill="1" applyBorder="1" applyAlignment="1" applyProtection="1">
      <alignment/>
      <protection/>
    </xf>
    <xf numFmtId="0" fontId="6" fillId="37" borderId="31" xfId="0" applyFont="1" applyFill="1" applyBorder="1" applyAlignment="1">
      <alignment/>
    </xf>
    <xf numFmtId="39" fontId="6" fillId="37" borderId="0" xfId="0" applyNumberFormat="1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 horizontal="center"/>
      <protection/>
    </xf>
    <xf numFmtId="0" fontId="6" fillId="37" borderId="0" xfId="0" applyFont="1" applyFill="1" applyBorder="1" applyAlignment="1">
      <alignment horizontal="center"/>
    </xf>
    <xf numFmtId="37" fontId="14" fillId="37" borderId="0" xfId="0" applyNumberFormat="1" applyFont="1" applyFill="1" applyBorder="1" applyAlignment="1" applyProtection="1">
      <alignment horizontal="center"/>
      <protection/>
    </xf>
    <xf numFmtId="0" fontId="6" fillId="37" borderId="11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6" fillId="37" borderId="17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5" xfId="0" applyFont="1" applyFill="1" applyBorder="1" applyAlignment="1">
      <alignment/>
    </xf>
    <xf numFmtId="20" fontId="6" fillId="37" borderId="31" xfId="0" applyNumberFormat="1" applyFont="1" applyFill="1" applyBorder="1" applyAlignment="1" applyProtection="1">
      <alignment horizontal="center"/>
      <protection/>
    </xf>
    <xf numFmtId="0" fontId="6" fillId="37" borderId="13" xfId="0" applyFont="1" applyFill="1" applyBorder="1" applyAlignment="1" applyProtection="1">
      <alignment horizontal="center"/>
      <protection/>
    </xf>
    <xf numFmtId="0" fontId="6" fillId="37" borderId="10" xfId="0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/>
      <protection/>
    </xf>
    <xf numFmtId="0" fontId="6" fillId="37" borderId="11" xfId="0" applyFont="1" applyFill="1" applyBorder="1" applyAlignment="1" applyProtection="1">
      <alignment horizontal="fill"/>
      <protection/>
    </xf>
    <xf numFmtId="0" fontId="6" fillId="37" borderId="12" xfId="0" applyFont="1" applyFill="1" applyBorder="1" applyAlignment="1" applyProtection="1">
      <alignment horizontal="fill"/>
      <protection/>
    </xf>
    <xf numFmtId="0" fontId="6" fillId="37" borderId="15" xfId="0" applyFont="1" applyFill="1" applyBorder="1" applyAlignment="1" applyProtection="1">
      <alignment horizontal="fill"/>
      <protection/>
    </xf>
    <xf numFmtId="0" fontId="14" fillId="37" borderId="29" xfId="0" applyFont="1" applyFill="1" applyBorder="1" applyAlignment="1" applyProtection="1">
      <alignment horizontal="fill"/>
      <protection/>
    </xf>
    <xf numFmtId="0" fontId="6" fillId="37" borderId="36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6" fillId="37" borderId="19" xfId="0" applyFont="1" applyFill="1" applyBorder="1" applyAlignment="1">
      <alignment/>
    </xf>
    <xf numFmtId="0" fontId="6" fillId="37" borderId="14" xfId="0" applyFont="1" applyFill="1" applyBorder="1" applyAlignment="1">
      <alignment horizontal="center"/>
    </xf>
    <xf numFmtId="0" fontId="6" fillId="37" borderId="37" xfId="0" applyFont="1" applyFill="1" applyBorder="1" applyAlignment="1">
      <alignment/>
    </xf>
    <xf numFmtId="0" fontId="0" fillId="37" borderId="34" xfId="0" applyFont="1" applyFill="1" applyBorder="1" applyAlignment="1">
      <alignment/>
    </xf>
    <xf numFmtId="0" fontId="14" fillId="37" borderId="29" xfId="0" applyFont="1" applyFill="1" applyBorder="1" applyAlignment="1" applyProtection="1">
      <alignment horizontal="center"/>
      <protection/>
    </xf>
    <xf numFmtId="0" fontId="6" fillId="37" borderId="10" xfId="0" applyFont="1" applyFill="1" applyBorder="1" applyAlignment="1">
      <alignment/>
    </xf>
    <xf numFmtId="0" fontId="6" fillId="37" borderId="36" xfId="0" applyFont="1" applyFill="1" applyBorder="1" applyAlignment="1" applyProtection="1">
      <alignment horizontal="fill"/>
      <protection/>
    </xf>
    <xf numFmtId="0" fontId="6" fillId="37" borderId="14" xfId="0" applyFont="1" applyFill="1" applyBorder="1" applyAlignment="1" applyProtection="1">
      <alignment horizontal="fill"/>
      <protection/>
    </xf>
    <xf numFmtId="0" fontId="6" fillId="37" borderId="37" xfId="0" applyFont="1" applyFill="1" applyBorder="1" applyAlignment="1" applyProtection="1">
      <alignment horizontal="fill"/>
      <protection/>
    </xf>
    <xf numFmtId="0" fontId="6" fillId="37" borderId="13" xfId="0" applyFont="1" applyFill="1" applyBorder="1" applyAlignment="1">
      <alignment/>
    </xf>
    <xf numFmtId="0" fontId="6" fillId="37" borderId="10" xfId="0" applyFont="1" applyFill="1" applyBorder="1" applyAlignment="1" applyProtection="1">
      <alignment horizontal="left"/>
      <protection/>
    </xf>
    <xf numFmtId="0" fontId="6" fillId="37" borderId="0" xfId="0" applyFont="1" applyFill="1" applyBorder="1" applyAlignment="1" applyProtection="1">
      <alignment horizontal="left"/>
      <protection/>
    </xf>
    <xf numFmtId="0" fontId="23" fillId="37" borderId="0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39" fontId="6" fillId="37" borderId="10" xfId="0" applyNumberFormat="1" applyFont="1" applyFill="1" applyBorder="1" applyAlignment="1" applyProtection="1">
      <alignment/>
      <protection/>
    </xf>
    <xf numFmtId="177" fontId="6" fillId="37" borderId="13" xfId="0" applyNumberFormat="1" applyFont="1" applyFill="1" applyBorder="1" applyAlignment="1" applyProtection="1">
      <alignment horizontal="center"/>
      <protection/>
    </xf>
    <xf numFmtId="37" fontId="6" fillId="37" borderId="10" xfId="0" applyNumberFormat="1" applyFont="1" applyFill="1" applyBorder="1" applyAlignment="1" applyProtection="1">
      <alignment horizontal="center"/>
      <protection/>
    </xf>
    <xf numFmtId="178" fontId="6" fillId="37" borderId="10" xfId="0" applyNumberFormat="1" applyFont="1" applyFill="1" applyBorder="1" applyAlignment="1" applyProtection="1">
      <alignment horizontal="center"/>
      <protection/>
    </xf>
    <xf numFmtId="39" fontId="6" fillId="37" borderId="10" xfId="0" applyNumberFormat="1" applyFont="1" applyFill="1" applyBorder="1" applyAlignment="1" applyProtection="1">
      <alignment horizontal="center"/>
      <protection/>
    </xf>
    <xf numFmtId="179" fontId="6" fillId="37" borderId="16" xfId="0" applyNumberFormat="1" applyFont="1" applyFill="1" applyBorder="1" applyAlignment="1" applyProtection="1">
      <alignment horizontal="center"/>
      <protection/>
    </xf>
    <xf numFmtId="10" fontId="0" fillId="37" borderId="29" xfId="51" applyNumberFormat="1" applyFont="1" applyFill="1" applyBorder="1" applyAlignment="1">
      <alignment horizontal="center"/>
    </xf>
    <xf numFmtId="2" fontId="6" fillId="37" borderId="13" xfId="0" applyNumberFormat="1" applyFont="1" applyFill="1" applyBorder="1" applyAlignment="1" applyProtection="1">
      <alignment horizontal="center"/>
      <protection/>
    </xf>
    <xf numFmtId="37" fontId="6" fillId="37" borderId="10" xfId="0" applyNumberFormat="1" applyFont="1" applyFill="1" applyBorder="1" applyAlignment="1" applyProtection="1">
      <alignment horizontal="left"/>
      <protection/>
    </xf>
    <xf numFmtId="179" fontId="6" fillId="37" borderId="10" xfId="0" applyNumberFormat="1" applyFont="1" applyFill="1" applyBorder="1" applyAlignment="1" applyProtection="1">
      <alignment horizontal="center"/>
      <protection/>
    </xf>
    <xf numFmtId="37" fontId="14" fillId="37" borderId="13" xfId="0" applyNumberFormat="1" applyFont="1" applyFill="1" applyBorder="1" applyAlignment="1" applyProtection="1">
      <alignment horizontal="center"/>
      <protection/>
    </xf>
    <xf numFmtId="0" fontId="14" fillId="37" borderId="10" xfId="0" applyFont="1" applyFill="1" applyBorder="1" applyAlignment="1" applyProtection="1">
      <alignment horizontal="center"/>
      <protection/>
    </xf>
    <xf numFmtId="39" fontId="14" fillId="37" borderId="10" xfId="0" applyNumberFormat="1" applyFont="1" applyFill="1" applyBorder="1" applyAlignment="1" applyProtection="1">
      <alignment horizontal="center"/>
      <protection/>
    </xf>
    <xf numFmtId="0" fontId="14" fillId="37" borderId="10" xfId="0" applyFont="1" applyFill="1" applyBorder="1" applyAlignment="1" applyProtection="1">
      <alignment horizontal="left"/>
      <protection/>
    </xf>
    <xf numFmtId="178" fontId="14" fillId="37" borderId="10" xfId="0" applyNumberFormat="1" applyFont="1" applyFill="1" applyBorder="1" applyAlignment="1" applyProtection="1">
      <alignment horizontal="center"/>
      <protection/>
    </xf>
    <xf numFmtId="39" fontId="14" fillId="37" borderId="16" xfId="0" applyNumberFormat="1" applyFont="1" applyFill="1" applyBorder="1" applyAlignment="1" applyProtection="1">
      <alignment horizontal="center"/>
      <protection/>
    </xf>
    <xf numFmtId="10" fontId="26" fillId="37" borderId="29" xfId="51" applyNumberFormat="1" applyFont="1" applyFill="1" applyBorder="1" applyAlignment="1" applyProtection="1">
      <alignment horizontal="center"/>
      <protection/>
    </xf>
    <xf numFmtId="39" fontId="6" fillId="37" borderId="13" xfId="0" applyNumberFormat="1" applyFont="1" applyFill="1" applyBorder="1" applyAlignment="1" applyProtection="1">
      <alignment horizontal="center"/>
      <protection/>
    </xf>
    <xf numFmtId="37" fontId="14" fillId="37" borderId="10" xfId="0" applyNumberFormat="1" applyFont="1" applyFill="1" applyBorder="1" applyAlignment="1" applyProtection="1">
      <alignment horizontal="center"/>
      <protection/>
    </xf>
    <xf numFmtId="37" fontId="6" fillId="37" borderId="13" xfId="0" applyNumberFormat="1" applyFont="1" applyFill="1" applyBorder="1" applyAlignment="1" applyProtection="1">
      <alignment horizontal="center"/>
      <protection/>
    </xf>
    <xf numFmtId="39" fontId="6" fillId="37" borderId="16" xfId="0" applyNumberFormat="1" applyFont="1" applyFill="1" applyBorder="1" applyAlignment="1" applyProtection="1">
      <alignment horizontal="center"/>
      <protection/>
    </xf>
    <xf numFmtId="0" fontId="6" fillId="37" borderId="10" xfId="0" applyFont="1" applyFill="1" applyBorder="1" applyAlignment="1">
      <alignment horizontal="center"/>
    </xf>
    <xf numFmtId="0" fontId="6" fillId="37" borderId="36" xfId="0" applyFont="1" applyFill="1" applyBorder="1" applyAlignment="1">
      <alignment horizontal="center"/>
    </xf>
    <xf numFmtId="0" fontId="6" fillId="37" borderId="14" xfId="0" applyFont="1" applyFill="1" applyBorder="1" applyAlignment="1" applyProtection="1">
      <alignment horizontal="left"/>
      <protection/>
    </xf>
    <xf numFmtId="0" fontId="6" fillId="37" borderId="22" xfId="0" applyFont="1" applyFill="1" applyBorder="1" applyAlignment="1" applyProtection="1">
      <alignment horizontal="left"/>
      <protection/>
    </xf>
    <xf numFmtId="0" fontId="23" fillId="37" borderId="23" xfId="0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6" fillId="37" borderId="21" xfId="0" applyFont="1" applyFill="1" applyBorder="1" applyAlignment="1">
      <alignment/>
    </xf>
    <xf numFmtId="179" fontId="6" fillId="37" borderId="20" xfId="0" applyNumberFormat="1" applyFont="1" applyFill="1" applyBorder="1" applyAlignment="1" applyProtection="1">
      <alignment horizontal="center"/>
      <protection/>
    </xf>
    <xf numFmtId="10" fontId="0" fillId="37" borderId="38" xfId="51" applyNumberFormat="1" applyFont="1" applyFill="1" applyBorder="1" applyAlignment="1">
      <alignment horizontal="center"/>
    </xf>
    <xf numFmtId="39" fontId="6" fillId="37" borderId="13" xfId="0" applyNumberFormat="1" applyFont="1" applyFill="1" applyBorder="1" applyAlignment="1" applyProtection="1">
      <alignment/>
      <protection/>
    </xf>
    <xf numFmtId="178" fontId="6" fillId="37" borderId="10" xfId="0" applyNumberFormat="1" applyFont="1" applyFill="1" applyBorder="1" applyAlignment="1" applyProtection="1">
      <alignment/>
      <protection/>
    </xf>
    <xf numFmtId="0" fontId="6" fillId="37" borderId="16" xfId="0" applyFont="1" applyFill="1" applyBorder="1" applyAlignment="1">
      <alignment horizontal="center"/>
    </xf>
    <xf numFmtId="0" fontId="23" fillId="37" borderId="10" xfId="0" applyFont="1" applyFill="1" applyBorder="1" applyAlignment="1">
      <alignment/>
    </xf>
    <xf numFmtId="179" fontId="6" fillId="37" borderId="16" xfId="0" applyNumberFormat="1" applyFont="1" applyFill="1" applyBorder="1" applyAlignment="1" applyProtection="1">
      <alignment/>
      <protection/>
    </xf>
    <xf numFmtId="39" fontId="14" fillId="37" borderId="29" xfId="0" applyNumberFormat="1" applyFont="1" applyFill="1" applyBorder="1" applyAlignment="1" applyProtection="1">
      <alignment/>
      <protection/>
    </xf>
    <xf numFmtId="0" fontId="6" fillId="37" borderId="13" xfId="0" applyFont="1" applyFill="1" applyBorder="1" applyAlignment="1" applyProtection="1">
      <alignment horizontal="fill"/>
      <protection/>
    </xf>
    <xf numFmtId="0" fontId="6" fillId="37" borderId="10" xfId="0" applyFont="1" applyFill="1" applyBorder="1" applyAlignment="1" applyProtection="1">
      <alignment horizontal="fill"/>
      <protection/>
    </xf>
    <xf numFmtId="0" fontId="6" fillId="37" borderId="0" xfId="0" applyFont="1" applyFill="1" applyBorder="1" applyAlignment="1" applyProtection="1">
      <alignment horizontal="fill"/>
      <protection/>
    </xf>
    <xf numFmtId="0" fontId="6" fillId="37" borderId="16" xfId="0" applyFont="1" applyFill="1" applyBorder="1" applyAlignment="1" applyProtection="1">
      <alignment horizontal="fill"/>
      <protection/>
    </xf>
    <xf numFmtId="180" fontId="6" fillId="37" borderId="10" xfId="0" applyNumberFormat="1" applyFont="1" applyFill="1" applyBorder="1" applyAlignment="1" applyProtection="1">
      <alignment horizontal="center"/>
      <protection/>
    </xf>
    <xf numFmtId="10" fontId="26" fillId="37" borderId="38" xfId="51" applyNumberFormat="1" applyFont="1" applyFill="1" applyBorder="1" applyAlignment="1" applyProtection="1">
      <alignment horizontal="center"/>
      <protection/>
    </xf>
    <xf numFmtId="39" fontId="6" fillId="37" borderId="16" xfId="0" applyNumberFormat="1" applyFont="1" applyFill="1" applyBorder="1" applyAlignment="1" applyProtection="1">
      <alignment/>
      <protection/>
    </xf>
    <xf numFmtId="39" fontId="6" fillId="37" borderId="14" xfId="0" applyNumberFormat="1" applyFont="1" applyFill="1" applyBorder="1" applyAlignment="1" applyProtection="1">
      <alignment/>
      <protection/>
    </xf>
    <xf numFmtId="39" fontId="6" fillId="37" borderId="37" xfId="0" applyNumberFormat="1" applyFont="1" applyFill="1" applyBorder="1" applyAlignment="1" applyProtection="1">
      <alignment/>
      <protection/>
    </xf>
    <xf numFmtId="180" fontId="14" fillId="37" borderId="10" xfId="0" applyNumberFormat="1" applyFont="1" applyFill="1" applyBorder="1" applyAlignment="1" applyProtection="1">
      <alignment horizontal="center"/>
      <protection/>
    </xf>
    <xf numFmtId="181" fontId="14" fillId="37" borderId="10" xfId="0" applyNumberFormat="1" applyFont="1" applyFill="1" applyBorder="1" applyAlignment="1" applyProtection="1">
      <alignment horizontal="center"/>
      <protection/>
    </xf>
    <xf numFmtId="0" fontId="6" fillId="37" borderId="28" xfId="0" applyFont="1" applyFill="1" applyBorder="1" applyAlignment="1">
      <alignment/>
    </xf>
    <xf numFmtId="2" fontId="14" fillId="37" borderId="16" xfId="0" applyNumberFormat="1" applyFont="1" applyFill="1" applyBorder="1" applyAlignment="1" applyProtection="1">
      <alignment horizontal="center"/>
      <protection/>
    </xf>
    <xf numFmtId="0" fontId="14" fillId="37" borderId="18" xfId="0" applyFont="1" applyFill="1" applyBorder="1" applyAlignment="1" applyProtection="1">
      <alignment horizontal="left"/>
      <protection/>
    </xf>
    <xf numFmtId="179" fontId="14" fillId="37" borderId="10" xfId="0" applyNumberFormat="1" applyFont="1" applyFill="1" applyBorder="1" applyAlignment="1" applyProtection="1">
      <alignment horizontal="center"/>
      <protection/>
    </xf>
    <xf numFmtId="0" fontId="23" fillId="37" borderId="33" xfId="0" applyFont="1" applyFill="1" applyBorder="1" applyAlignment="1">
      <alignment/>
    </xf>
    <xf numFmtId="0" fontId="6" fillId="37" borderId="24" xfId="0" applyFont="1" applyFill="1" applyBorder="1" applyAlignment="1">
      <alignment horizontal="centerContinuous"/>
    </xf>
    <xf numFmtId="0" fontId="23" fillId="37" borderId="24" xfId="0" applyFont="1" applyFill="1" applyBorder="1" applyAlignment="1">
      <alignment horizontal="centerContinuous"/>
    </xf>
    <xf numFmtId="39" fontId="6" fillId="37" borderId="24" xfId="0" applyNumberFormat="1" applyFont="1" applyFill="1" applyBorder="1" applyAlignment="1" applyProtection="1">
      <alignment horizontal="centerContinuous"/>
      <protection/>
    </xf>
    <xf numFmtId="39" fontId="6" fillId="37" borderId="0" xfId="0" applyNumberFormat="1" applyFont="1" applyFill="1" applyBorder="1" applyAlignment="1" applyProtection="1">
      <alignment horizontal="centerContinuous"/>
      <protection/>
    </xf>
    <xf numFmtId="0" fontId="6" fillId="37" borderId="30" xfId="0" applyFont="1" applyFill="1" applyBorder="1" applyAlignment="1" applyProtection="1">
      <alignment horizontal="fill"/>
      <protection/>
    </xf>
    <xf numFmtId="0" fontId="6" fillId="37" borderId="31" xfId="0" applyFont="1" applyFill="1" applyBorder="1" applyAlignment="1" applyProtection="1">
      <alignment horizontal="fill"/>
      <protection/>
    </xf>
    <xf numFmtId="0" fontId="6" fillId="37" borderId="33" xfId="0" applyFont="1" applyFill="1" applyBorder="1" applyAlignment="1">
      <alignment/>
    </xf>
    <xf numFmtId="39" fontId="6" fillId="37" borderId="15" xfId="0" applyNumberFormat="1" applyFont="1" applyFill="1" applyBorder="1" applyAlignment="1" applyProtection="1">
      <alignment/>
      <protection/>
    </xf>
    <xf numFmtId="0" fontId="6" fillId="37" borderId="18" xfId="0" applyFont="1" applyFill="1" applyBorder="1" applyAlignment="1">
      <alignment/>
    </xf>
    <xf numFmtId="0" fontId="6" fillId="37" borderId="14" xfId="0" applyFont="1" applyFill="1" applyBorder="1" applyAlignment="1" applyProtection="1">
      <alignment horizontal="center"/>
      <protection/>
    </xf>
    <xf numFmtId="0" fontId="6" fillId="37" borderId="20" xfId="0" applyFont="1" applyFill="1" applyBorder="1" applyAlignment="1" applyProtection="1">
      <alignment horizontal="center"/>
      <protection/>
    </xf>
    <xf numFmtId="0" fontId="0" fillId="37" borderId="35" xfId="0" applyFont="1" applyFill="1" applyBorder="1" applyAlignment="1">
      <alignment/>
    </xf>
    <xf numFmtId="0" fontId="6" fillId="37" borderId="23" xfId="0" applyFont="1" applyFill="1" applyBorder="1" applyAlignment="1" applyProtection="1">
      <alignment horizontal="left"/>
      <protection/>
    </xf>
    <xf numFmtId="39" fontId="6" fillId="37" borderId="23" xfId="0" applyNumberFormat="1" applyFont="1" applyFill="1" applyBorder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left"/>
      <protection/>
    </xf>
    <xf numFmtId="0" fontId="23" fillId="37" borderId="18" xfId="0" applyFont="1" applyFill="1" applyBorder="1" applyAlignment="1">
      <alignment/>
    </xf>
    <xf numFmtId="10" fontId="14" fillId="37" borderId="29" xfId="51" applyNumberFormat="1" applyFont="1" applyFill="1" applyBorder="1" applyAlignment="1" applyProtection="1">
      <alignment horizontal="center"/>
      <protection/>
    </xf>
    <xf numFmtId="0" fontId="20" fillId="37" borderId="33" xfId="0" applyFont="1" applyFill="1" applyBorder="1" applyAlignment="1" applyProtection="1">
      <alignment horizontal="centerContinuous"/>
      <protection/>
    </xf>
    <xf numFmtId="0" fontId="20" fillId="37" borderId="24" xfId="0" applyFont="1" applyFill="1" applyBorder="1" applyAlignment="1">
      <alignment horizontal="centerContinuous"/>
    </xf>
    <xf numFmtId="0" fontId="23" fillId="37" borderId="15" xfId="0" applyFont="1" applyFill="1" applyBorder="1" applyAlignment="1">
      <alignment/>
    </xf>
    <xf numFmtId="0" fontId="23" fillId="37" borderId="24" xfId="0" applyFont="1" applyFill="1" applyBorder="1" applyAlignment="1">
      <alignment/>
    </xf>
    <xf numFmtId="179" fontId="6" fillId="37" borderId="10" xfId="0" applyNumberFormat="1" applyFont="1" applyFill="1" applyBorder="1" applyAlignment="1">
      <alignment horizontal="center"/>
    </xf>
    <xf numFmtId="0" fontId="14" fillId="37" borderId="34" xfId="0" applyFont="1" applyFill="1" applyBorder="1" applyAlignment="1" applyProtection="1">
      <alignment horizontal="center"/>
      <protection/>
    </xf>
    <xf numFmtId="0" fontId="6" fillId="37" borderId="15" xfId="0" applyFont="1" applyFill="1" applyBorder="1" applyAlignment="1" applyProtection="1">
      <alignment horizontal="left"/>
      <protection/>
    </xf>
    <xf numFmtId="0" fontId="23" fillId="37" borderId="12" xfId="0" applyFont="1" applyFill="1" applyBorder="1" applyAlignment="1">
      <alignment/>
    </xf>
    <xf numFmtId="39" fontId="6" fillId="37" borderId="15" xfId="0" applyNumberFormat="1" applyFont="1" applyFill="1" applyBorder="1" applyAlignment="1" applyProtection="1">
      <alignment horizontal="center"/>
      <protection/>
    </xf>
    <xf numFmtId="39" fontId="26" fillId="37" borderId="29" xfId="0" applyNumberFormat="1" applyFont="1" applyFill="1" applyBorder="1" applyAlignment="1" applyProtection="1">
      <alignment/>
      <protection/>
    </xf>
    <xf numFmtId="0" fontId="6" fillId="37" borderId="30" xfId="0" applyFont="1" applyFill="1" applyBorder="1" applyAlignment="1">
      <alignment/>
    </xf>
    <xf numFmtId="39" fontId="6" fillId="37" borderId="14" xfId="0" applyNumberFormat="1" applyFont="1" applyFill="1" applyBorder="1" applyAlignment="1" applyProtection="1">
      <alignment horizontal="center"/>
      <protection/>
    </xf>
    <xf numFmtId="0" fontId="6" fillId="37" borderId="31" xfId="0" applyFont="1" applyFill="1" applyBorder="1" applyAlignment="1" applyProtection="1">
      <alignment horizontal="left"/>
      <protection/>
    </xf>
    <xf numFmtId="0" fontId="6" fillId="37" borderId="22" xfId="0" applyFont="1" applyFill="1" applyBorder="1" applyAlignment="1">
      <alignment/>
    </xf>
    <xf numFmtId="10" fontId="8" fillId="37" borderId="38" xfId="51" applyNumberFormat="1" applyFont="1" applyFill="1" applyBorder="1" applyAlignment="1">
      <alignment horizontal="center"/>
    </xf>
    <xf numFmtId="39" fontId="16" fillId="37" borderId="10" xfId="0" applyNumberFormat="1" applyFont="1" applyFill="1" applyBorder="1" applyAlignment="1" applyProtection="1">
      <alignment horizontal="center"/>
      <protection/>
    </xf>
    <xf numFmtId="0" fontId="6" fillId="37" borderId="28" xfId="0" applyFont="1" applyFill="1" applyBorder="1" applyAlignment="1" applyProtection="1">
      <alignment horizontal="fill"/>
      <protection/>
    </xf>
    <xf numFmtId="39" fontId="6" fillId="37" borderId="10" xfId="0" applyNumberFormat="1" applyFont="1" applyFill="1" applyBorder="1" applyAlignment="1">
      <alignment horizontal="center"/>
    </xf>
    <xf numFmtId="0" fontId="20" fillId="37" borderId="25" xfId="0" applyFont="1" applyFill="1" applyBorder="1" applyAlignment="1" applyProtection="1">
      <alignment horizontal="centerContinuous"/>
      <protection/>
    </xf>
    <xf numFmtId="0" fontId="6" fillId="37" borderId="26" xfId="0" applyFont="1" applyFill="1" applyBorder="1" applyAlignment="1">
      <alignment horizontal="centerContinuous"/>
    </xf>
    <xf numFmtId="0" fontId="6" fillId="37" borderId="40" xfId="0" applyFont="1" applyFill="1" applyBorder="1" applyAlignment="1" applyProtection="1">
      <alignment horizontal="centerContinuous"/>
      <protection/>
    </xf>
    <xf numFmtId="0" fontId="6" fillId="37" borderId="41" xfId="0" applyFont="1" applyFill="1" applyBorder="1" applyAlignment="1" applyProtection="1">
      <alignment horizontal="centerContinuous"/>
      <protection/>
    </xf>
    <xf numFmtId="0" fontId="6" fillId="37" borderId="26" xfId="0" applyFont="1" applyFill="1" applyBorder="1" applyAlignment="1" applyProtection="1">
      <alignment horizontal="left"/>
      <protection/>
    </xf>
    <xf numFmtId="0" fontId="6" fillId="37" borderId="26" xfId="0" applyFont="1" applyFill="1" applyBorder="1" applyAlignment="1">
      <alignment/>
    </xf>
    <xf numFmtId="39" fontId="6" fillId="37" borderId="26" xfId="0" applyNumberFormat="1" applyFont="1" applyFill="1" applyBorder="1" applyAlignment="1" applyProtection="1">
      <alignment/>
      <protection/>
    </xf>
    <xf numFmtId="10" fontId="8" fillId="37" borderId="42" xfId="51" applyNumberFormat="1" applyFont="1" applyFill="1" applyBorder="1" applyAlignment="1">
      <alignment horizontal="center"/>
    </xf>
    <xf numFmtId="16" fontId="3" fillId="37" borderId="28" xfId="0" applyNumberFormat="1" applyFont="1" applyFill="1" applyBorder="1" applyAlignment="1" applyProtection="1" quotePrefix="1">
      <alignment horizontal="center"/>
      <protection/>
    </xf>
    <xf numFmtId="0" fontId="3" fillId="37" borderId="0" xfId="0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>
      <alignment/>
    </xf>
    <xf numFmtId="39" fontId="3" fillId="37" borderId="0" xfId="0" applyNumberFormat="1" applyFont="1" applyFill="1" applyBorder="1" applyAlignment="1" applyProtection="1">
      <alignment/>
      <protection/>
    </xf>
    <xf numFmtId="0" fontId="14" fillId="37" borderId="28" xfId="0" applyFont="1" applyFill="1" applyBorder="1" applyAlignment="1">
      <alignment/>
    </xf>
    <xf numFmtId="0" fontId="0" fillId="37" borderId="32" xfId="0" applyFont="1" applyFill="1" applyBorder="1" applyAlignment="1">
      <alignment/>
    </xf>
    <xf numFmtId="0" fontId="6" fillId="37" borderId="40" xfId="0" applyFont="1" applyFill="1" applyBorder="1" applyAlignment="1">
      <alignment/>
    </xf>
    <xf numFmtId="0" fontId="6" fillId="37" borderId="43" xfId="0" applyFont="1" applyFill="1" applyBorder="1" applyAlignment="1">
      <alignment/>
    </xf>
    <xf numFmtId="39" fontId="6" fillId="37" borderId="44" xfId="0" applyNumberFormat="1" applyFont="1" applyFill="1" applyBorder="1" applyAlignment="1" applyProtection="1">
      <alignment horizontal="center"/>
      <protection/>
    </xf>
    <xf numFmtId="0" fontId="6" fillId="37" borderId="44" xfId="0" applyFont="1" applyFill="1" applyBorder="1" applyAlignment="1">
      <alignment/>
    </xf>
    <xf numFmtId="0" fontId="6" fillId="37" borderId="44" xfId="0" applyFont="1" applyFill="1" applyBorder="1" applyAlignment="1" applyProtection="1">
      <alignment horizontal="left"/>
      <protection/>
    </xf>
    <xf numFmtId="0" fontId="6" fillId="37" borderId="45" xfId="0" applyFont="1" applyFill="1" applyBorder="1" applyAlignment="1" applyProtection="1">
      <alignment horizontal="left"/>
      <protection/>
    </xf>
    <xf numFmtId="0" fontId="6" fillId="37" borderId="46" xfId="0" applyFont="1" applyFill="1" applyBorder="1" applyAlignment="1">
      <alignment/>
    </xf>
    <xf numFmtId="39" fontId="6" fillId="37" borderId="47" xfId="0" applyNumberFormat="1" applyFont="1" applyFill="1" applyBorder="1" applyAlignment="1" applyProtection="1">
      <alignment horizontal="center"/>
      <protection/>
    </xf>
    <xf numFmtId="10" fontId="14" fillId="37" borderId="48" xfId="51" applyNumberFormat="1" applyFont="1" applyFill="1" applyBorder="1" applyAlignment="1" applyProtection="1">
      <alignment horizontal="center"/>
      <protection/>
    </xf>
    <xf numFmtId="0" fontId="6" fillId="37" borderId="41" xfId="0" applyFont="1" applyFill="1" applyBorder="1" applyAlignment="1">
      <alignment/>
    </xf>
    <xf numFmtId="16" fontId="14" fillId="37" borderId="40" xfId="0" applyNumberFormat="1" applyFont="1" applyFill="1" applyBorder="1" applyAlignment="1" applyProtection="1" quotePrefix="1">
      <alignment horizontal="center"/>
      <protection/>
    </xf>
    <xf numFmtId="0" fontId="14" fillId="37" borderId="41" xfId="0" applyFont="1" applyFill="1" applyBorder="1" applyAlignment="1" applyProtection="1">
      <alignment horizontal="left"/>
      <protection/>
    </xf>
    <xf numFmtId="0" fontId="14" fillId="37" borderId="41" xfId="0" applyFont="1" applyFill="1" applyBorder="1" applyAlignment="1">
      <alignment/>
    </xf>
    <xf numFmtId="43" fontId="14" fillId="37" borderId="41" xfId="53" applyFont="1" applyFill="1" applyBorder="1" applyAlignment="1" applyProtection="1">
      <alignment/>
      <protection/>
    </xf>
    <xf numFmtId="10" fontId="8" fillId="37" borderId="42" xfId="0" applyNumberFormat="1" applyFont="1" applyFill="1" applyBorder="1" applyAlignment="1">
      <alignment/>
    </xf>
    <xf numFmtId="0" fontId="21" fillId="37" borderId="0" xfId="0" applyFont="1" applyFill="1" applyBorder="1" applyAlignment="1">
      <alignment horizontal="centerContinuous"/>
    </xf>
    <xf numFmtId="0" fontId="22" fillId="37" borderId="29" xfId="0" applyFont="1" applyFill="1" applyBorder="1" applyAlignment="1">
      <alignment horizontal="centerContinuous"/>
    </xf>
    <xf numFmtId="0" fontId="5" fillId="37" borderId="28" xfId="0" applyFont="1" applyFill="1" applyBorder="1" applyAlignment="1">
      <alignment horizontal="centerContinuous"/>
    </xf>
    <xf numFmtId="37" fontId="14" fillId="37" borderId="0" xfId="0" applyNumberFormat="1" applyFont="1" applyFill="1" applyBorder="1" applyAlignment="1" applyProtection="1">
      <alignment/>
      <protection/>
    </xf>
    <xf numFmtId="0" fontId="14" fillId="37" borderId="30" xfId="0" applyFont="1" applyFill="1" applyBorder="1" applyAlignment="1" applyProtection="1">
      <alignment horizontal="left"/>
      <protection/>
    </xf>
    <xf numFmtId="20" fontId="14" fillId="37" borderId="31" xfId="0" applyNumberFormat="1" applyFont="1" applyFill="1" applyBorder="1" applyAlignment="1" applyProtection="1">
      <alignment/>
      <protection/>
    </xf>
    <xf numFmtId="0" fontId="14" fillId="37" borderId="31" xfId="0" applyFont="1" applyFill="1" applyBorder="1" applyAlignment="1" applyProtection="1">
      <alignment horizontal="center"/>
      <protection/>
    </xf>
    <xf numFmtId="0" fontId="14" fillId="37" borderId="31" xfId="0" applyFont="1" applyFill="1" applyBorder="1" applyAlignment="1">
      <alignment horizontal="center"/>
    </xf>
    <xf numFmtId="39" fontId="14" fillId="37" borderId="31" xfId="0" applyNumberFormat="1" applyFont="1" applyFill="1" applyBorder="1" applyAlignment="1" applyProtection="1">
      <alignment/>
      <protection/>
    </xf>
    <xf numFmtId="0" fontId="14" fillId="37" borderId="31" xfId="0" applyFont="1" applyFill="1" applyBorder="1" applyAlignment="1">
      <alignment/>
    </xf>
    <xf numFmtId="20" fontId="14" fillId="37" borderId="31" xfId="0" applyNumberFormat="1" applyFont="1" applyFill="1" applyBorder="1" applyAlignment="1" applyProtection="1">
      <alignment horizontal="center"/>
      <protection/>
    </xf>
    <xf numFmtId="177" fontId="6" fillId="37" borderId="13" xfId="0" applyNumberFormat="1" applyFont="1" applyFill="1" applyBorder="1" applyAlignment="1" applyProtection="1">
      <alignment horizontal="right"/>
      <protection/>
    </xf>
    <xf numFmtId="2" fontId="6" fillId="37" borderId="13" xfId="0" applyNumberFormat="1" applyFont="1" applyFill="1" applyBorder="1" applyAlignment="1" applyProtection="1">
      <alignment/>
      <protection/>
    </xf>
    <xf numFmtId="179" fontId="6" fillId="37" borderId="10" xfId="0" applyNumberFormat="1" applyFont="1" applyFill="1" applyBorder="1" applyAlignment="1" applyProtection="1">
      <alignment/>
      <protection/>
    </xf>
    <xf numFmtId="178" fontId="14" fillId="37" borderId="10" xfId="0" applyNumberFormat="1" applyFont="1" applyFill="1" applyBorder="1" applyAlignment="1" applyProtection="1">
      <alignment/>
      <protection/>
    </xf>
    <xf numFmtId="39" fontId="14" fillId="37" borderId="10" xfId="0" applyNumberFormat="1" applyFont="1" applyFill="1" applyBorder="1" applyAlignment="1" applyProtection="1">
      <alignment/>
      <protection/>
    </xf>
    <xf numFmtId="39" fontId="14" fillId="37" borderId="16" xfId="0" applyNumberFormat="1" applyFont="1" applyFill="1" applyBorder="1" applyAlignment="1" applyProtection="1">
      <alignment/>
      <protection/>
    </xf>
    <xf numFmtId="2" fontId="14" fillId="37" borderId="16" xfId="0" applyNumberFormat="1" applyFont="1" applyFill="1" applyBorder="1" applyAlignment="1" applyProtection="1">
      <alignment/>
      <protection/>
    </xf>
    <xf numFmtId="179" fontId="14" fillId="37" borderId="10" xfId="0" applyNumberFormat="1" applyFont="1" applyFill="1" applyBorder="1" applyAlignment="1" applyProtection="1">
      <alignment/>
      <protection/>
    </xf>
    <xf numFmtId="179" fontId="6" fillId="37" borderId="20" xfId="0" applyNumberFormat="1" applyFont="1" applyFill="1" applyBorder="1" applyAlignment="1" applyProtection="1">
      <alignment/>
      <protection/>
    </xf>
    <xf numFmtId="181" fontId="14" fillId="37" borderId="10" xfId="0" applyNumberFormat="1" applyFont="1" applyFill="1" applyBorder="1" applyAlignment="1" applyProtection="1">
      <alignment horizontal="right"/>
      <protection/>
    </xf>
    <xf numFmtId="10" fontId="0" fillId="37" borderId="29" xfId="0" applyNumberFormat="1" applyFont="1" applyFill="1" applyBorder="1" applyAlignment="1">
      <alignment/>
    </xf>
    <xf numFmtId="0" fontId="6" fillId="37" borderId="19" xfId="0" applyFont="1" applyFill="1" applyBorder="1" applyAlignment="1" applyProtection="1">
      <alignment horizontal="fill"/>
      <protection/>
    </xf>
    <xf numFmtId="39" fontId="6" fillId="37" borderId="23" xfId="0" applyNumberFormat="1" applyFont="1" applyFill="1" applyBorder="1" applyAlignment="1" applyProtection="1">
      <alignment/>
      <protection/>
    </xf>
    <xf numFmtId="39" fontId="6" fillId="37" borderId="10" xfId="0" applyNumberFormat="1" applyFont="1" applyFill="1" applyBorder="1" applyAlignment="1">
      <alignment/>
    </xf>
    <xf numFmtId="0" fontId="3" fillId="37" borderId="28" xfId="0" applyFont="1" applyFill="1" applyBorder="1" applyAlignment="1" applyProtection="1" quotePrefix="1">
      <alignment horizontal="center"/>
      <protection/>
    </xf>
    <xf numFmtId="0" fontId="39" fillId="0" borderId="22" xfId="0" applyFont="1" applyBorder="1" applyAlignment="1">
      <alignment horizontal="centerContinuous" vertical="center"/>
    </xf>
    <xf numFmtId="0" fontId="40" fillId="0" borderId="23" xfId="0" applyFont="1" applyBorder="1" applyAlignment="1">
      <alignment horizontal="centerContinuous" vertical="center"/>
    </xf>
    <xf numFmtId="0" fontId="41" fillId="0" borderId="23" xfId="0" applyFont="1" applyBorder="1" applyAlignment="1">
      <alignment horizontal="centerContinuous" vertical="center"/>
    </xf>
    <xf numFmtId="0" fontId="41" fillId="0" borderId="21" xfId="0" applyFont="1" applyBorder="1" applyAlignment="1">
      <alignment horizontal="centerContinuous" vertical="center"/>
    </xf>
    <xf numFmtId="0" fontId="42" fillId="0" borderId="0" xfId="0" applyFont="1" applyAlignment="1">
      <alignment/>
    </xf>
    <xf numFmtId="0" fontId="41" fillId="0" borderId="16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Continuous" vertical="center"/>
    </xf>
    <xf numFmtId="0" fontId="41" fillId="0" borderId="24" xfId="0" applyFont="1" applyBorder="1" applyAlignment="1">
      <alignment horizontal="centerContinuous" vertical="center"/>
    </xf>
    <xf numFmtId="0" fontId="41" fillId="0" borderId="24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12" xfId="0" applyFont="1" applyBorder="1" applyAlignment="1">
      <alignment horizontal="centerContinuous" vertical="center"/>
    </xf>
    <xf numFmtId="0" fontId="41" fillId="0" borderId="23" xfId="0" applyFont="1" applyBorder="1" applyAlignment="1">
      <alignment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1" fillId="0" borderId="16" xfId="0" applyFont="1" applyFill="1" applyBorder="1" applyAlignment="1">
      <alignment/>
    </xf>
    <xf numFmtId="0" fontId="41" fillId="0" borderId="0" xfId="0" applyFont="1" applyBorder="1" applyAlignment="1">
      <alignment/>
    </xf>
    <xf numFmtId="10" fontId="41" fillId="0" borderId="10" xfId="51" applyNumberFormat="1" applyFont="1" applyFill="1" applyBorder="1" applyAlignment="1">
      <alignment horizontal="centerContinuous"/>
    </xf>
    <xf numFmtId="0" fontId="41" fillId="0" borderId="16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/>
    </xf>
    <xf numFmtId="10" fontId="41" fillId="0" borderId="10" xfId="51" applyNumberFormat="1" applyFont="1" applyBorder="1" applyAlignment="1">
      <alignment horizontal="centerContinuous"/>
    </xf>
    <xf numFmtId="0" fontId="41" fillId="0" borderId="22" xfId="0" applyFont="1" applyBorder="1" applyAlignment="1">
      <alignment vertical="center"/>
    </xf>
    <xf numFmtId="10" fontId="41" fillId="0" borderId="20" xfId="51" applyNumberFormat="1" applyFont="1" applyBorder="1" applyAlignment="1">
      <alignment horizontal="centerContinuous" vertical="center"/>
    </xf>
    <xf numFmtId="0" fontId="41" fillId="0" borderId="23" xfId="0" applyFont="1" applyBorder="1" applyAlignment="1" quotePrefix="1">
      <alignment/>
    </xf>
    <xf numFmtId="0" fontId="41" fillId="0" borderId="23" xfId="0" applyFont="1" applyBorder="1" applyAlignment="1">
      <alignment horizontal="centerContinuous"/>
    </xf>
    <xf numFmtId="0" fontId="41" fillId="0" borderId="21" xfId="0" applyFont="1" applyBorder="1" applyAlignment="1">
      <alignment horizontal="centerContinuous"/>
    </xf>
    <xf numFmtId="0" fontId="41" fillId="0" borderId="37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16" xfId="0" applyFont="1" applyBorder="1" applyAlignment="1" quotePrefix="1">
      <alignment horizontal="center"/>
    </xf>
    <xf numFmtId="0" fontId="41" fillId="0" borderId="16" xfId="0" applyFont="1" applyFill="1" applyBorder="1" applyAlignment="1">
      <alignment horizontal="left"/>
    </xf>
    <xf numFmtId="0" fontId="41" fillId="0" borderId="37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1" xfId="0" applyFont="1" applyBorder="1" applyAlignment="1" quotePrefix="1">
      <alignment/>
    </xf>
    <xf numFmtId="0" fontId="41" fillId="0" borderId="31" xfId="0" applyFont="1" applyBorder="1" applyAlignment="1">
      <alignment horizontal="centerContinuous"/>
    </xf>
    <xf numFmtId="0" fontId="40" fillId="0" borderId="23" xfId="0" applyFont="1" applyBorder="1" applyAlignment="1" quotePrefix="1">
      <alignment horizontal="left" vertical="center"/>
    </xf>
    <xf numFmtId="0" fontId="41" fillId="0" borderId="16" xfId="0" applyFont="1" applyBorder="1" applyAlignment="1">
      <alignment horizontal="left"/>
    </xf>
    <xf numFmtId="0" fontId="41" fillId="0" borderId="16" xfId="0" applyFont="1" applyBorder="1" applyAlignment="1" quotePrefix="1">
      <alignment horizontal="left"/>
    </xf>
    <xf numFmtId="9" fontId="42" fillId="0" borderId="0" xfId="0" applyNumberFormat="1" applyFont="1" applyAlignment="1">
      <alignment/>
    </xf>
    <xf numFmtId="0" fontId="41" fillId="0" borderId="15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12" xfId="0" applyFont="1" applyFill="1" applyBorder="1" applyAlignment="1">
      <alignment horizontal="center"/>
    </xf>
    <xf numFmtId="10" fontId="41" fillId="0" borderId="10" xfId="51" applyNumberFormat="1" applyFont="1" applyFill="1" applyBorder="1" applyAlignment="1">
      <alignment horizontal="centerContinuous" vertical="center"/>
    </xf>
    <xf numFmtId="0" fontId="41" fillId="0" borderId="31" xfId="0" applyFont="1" applyBorder="1" applyAlignment="1">
      <alignment/>
    </xf>
    <xf numFmtId="39" fontId="41" fillId="0" borderId="14" xfId="0" applyNumberFormat="1" applyFont="1" applyFill="1" applyBorder="1" applyAlignment="1">
      <alignment horizontal="centerContinuous"/>
    </xf>
    <xf numFmtId="10" fontId="8" fillId="34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39" fontId="6" fillId="37" borderId="10" xfId="0" applyNumberFormat="1" applyFont="1" applyFill="1" applyBorder="1" applyAlignment="1" applyProtection="1">
      <alignment horizontal="center"/>
      <protection locked="0"/>
    </xf>
    <xf numFmtId="39" fontId="6" fillId="33" borderId="10" xfId="0" applyNumberFormat="1" applyFont="1" applyFill="1" applyBorder="1" applyAlignment="1" applyProtection="1">
      <alignment horizontal="center"/>
      <protection locked="0"/>
    </xf>
    <xf numFmtId="7" fontId="15" fillId="35" borderId="21" xfId="0" applyNumberFormat="1" applyFont="1" applyFill="1" applyBorder="1" applyAlignment="1" applyProtection="1">
      <alignment horizontal="center"/>
      <protection/>
    </xf>
    <xf numFmtId="7" fontId="15" fillId="35" borderId="19" xfId="0" applyNumberFormat="1" applyFont="1" applyFill="1" applyBorder="1" applyAlignment="1" applyProtection="1">
      <alignment horizontal="center"/>
      <protection/>
    </xf>
    <xf numFmtId="0" fontId="15" fillId="35" borderId="22" xfId="0" applyFont="1" applyFill="1" applyBorder="1" applyAlignment="1" applyProtection="1">
      <alignment/>
      <protection/>
    </xf>
    <xf numFmtId="39" fontId="6" fillId="33" borderId="0" xfId="0" applyNumberFormat="1" applyFont="1" applyFill="1" applyBorder="1" applyAlignment="1">
      <alignment/>
    </xf>
    <xf numFmtId="184" fontId="18" fillId="33" borderId="0" xfId="53" applyNumberFormat="1" applyFont="1" applyFill="1" applyBorder="1" applyAlignment="1">
      <alignment horizontal="left"/>
    </xf>
    <xf numFmtId="10" fontId="8" fillId="33" borderId="51" xfId="51" applyNumberFormat="1" applyFont="1" applyFill="1" applyBorder="1" applyAlignment="1">
      <alignment horizontal="center"/>
    </xf>
    <xf numFmtId="0" fontId="6" fillId="33" borderId="28" xfId="0" applyFont="1" applyFill="1" applyBorder="1" applyAlignment="1" applyProtection="1">
      <alignment horizontal="centerContinuous"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39" fontId="6" fillId="33" borderId="53" xfId="0" applyNumberFormat="1" applyFont="1" applyFill="1" applyBorder="1" applyAlignment="1" applyProtection="1">
      <alignment/>
      <protection/>
    </xf>
    <xf numFmtId="39" fontId="6" fillId="33" borderId="39" xfId="0" applyNumberFormat="1" applyFont="1" applyFill="1" applyBorder="1" applyAlignment="1" applyProtection="1">
      <alignment/>
      <protection/>
    </xf>
    <xf numFmtId="16" fontId="22" fillId="33" borderId="40" xfId="0" applyNumberFormat="1" applyFont="1" applyFill="1" applyBorder="1" applyAlignment="1" applyProtection="1" quotePrefix="1">
      <alignment horizontal="center"/>
      <protection/>
    </xf>
    <xf numFmtId="0" fontId="22" fillId="33" borderId="41" xfId="0" applyFont="1" applyFill="1" applyBorder="1" applyAlignment="1" applyProtection="1">
      <alignment horizontal="left"/>
      <protection/>
    </xf>
    <xf numFmtId="0" fontId="22" fillId="33" borderId="41" xfId="0" applyFont="1" applyFill="1" applyBorder="1" applyAlignment="1">
      <alignment/>
    </xf>
    <xf numFmtId="43" fontId="22" fillId="33" borderId="55" xfId="53" applyFont="1" applyFill="1" applyBorder="1" applyAlignment="1" applyProtection="1">
      <alignment/>
      <protection/>
    </xf>
    <xf numFmtId="0" fontId="0" fillId="33" borderId="55" xfId="0" applyFont="1" applyFill="1" applyBorder="1" applyAlignment="1">
      <alignment/>
    </xf>
    <xf numFmtId="0" fontId="23" fillId="33" borderId="57" xfId="0" applyFont="1" applyFill="1" applyBorder="1" applyAlignment="1">
      <alignment/>
    </xf>
    <xf numFmtId="43" fontId="18" fillId="33" borderId="58" xfId="53" applyFont="1" applyFill="1" applyBorder="1" applyAlignment="1" applyProtection="1">
      <alignment/>
      <protection/>
    </xf>
    <xf numFmtId="39" fontId="14" fillId="33" borderId="10" xfId="0" applyNumberFormat="1" applyFont="1" applyFill="1" applyBorder="1" applyAlignment="1" applyProtection="1">
      <alignment horizontal="center"/>
      <protection locked="0"/>
    </xf>
    <xf numFmtId="174" fontId="2" fillId="0" borderId="0" xfId="0" applyNumberFormat="1" applyFont="1" applyAlignment="1">
      <alignment/>
    </xf>
    <xf numFmtId="16" fontId="6" fillId="37" borderId="25" xfId="0" applyNumberFormat="1" applyFont="1" applyFill="1" applyBorder="1" applyAlignment="1" applyProtection="1" quotePrefix="1">
      <alignment horizontal="center"/>
      <protection/>
    </xf>
    <xf numFmtId="16" fontId="6" fillId="37" borderId="28" xfId="0" applyNumberFormat="1" applyFont="1" applyFill="1" applyBorder="1" applyAlignment="1" applyProtection="1" quotePrefix="1">
      <alignment horizontal="center"/>
      <protection/>
    </xf>
    <xf numFmtId="0" fontId="6" fillId="37" borderId="29" xfId="0" applyFont="1" applyFill="1" applyBorder="1" applyAlignment="1">
      <alignment/>
    </xf>
    <xf numFmtId="0" fontId="6" fillId="37" borderId="25" xfId="0" applyFont="1" applyFill="1" applyBorder="1" applyAlignment="1" applyProtection="1" quotePrefix="1">
      <alignment horizontal="center"/>
      <protection/>
    </xf>
    <xf numFmtId="0" fontId="6" fillId="37" borderId="28" xfId="0" applyFont="1" applyFill="1" applyBorder="1" applyAlignment="1" applyProtection="1" quotePrefix="1">
      <alignment horizontal="center"/>
      <protection/>
    </xf>
    <xf numFmtId="0" fontId="6" fillId="33" borderId="25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 applyProtection="1" quotePrefix="1">
      <alignment horizontal="center"/>
      <protection/>
    </xf>
    <xf numFmtId="16" fontId="6" fillId="33" borderId="25" xfId="0" applyNumberFormat="1" applyFont="1" applyFill="1" applyBorder="1" applyAlignment="1" applyProtection="1" quotePrefix="1">
      <alignment horizontal="center"/>
      <protection/>
    </xf>
    <xf numFmtId="16" fontId="22" fillId="33" borderId="40" xfId="0" applyNumberFormat="1" applyFont="1" applyFill="1" applyBorder="1" applyAlignment="1" applyProtection="1" quotePrefix="1">
      <alignment/>
      <protection/>
    </xf>
    <xf numFmtId="0" fontId="22" fillId="33" borderId="40" xfId="0" applyFont="1" applyFill="1" applyBorder="1" applyAlignment="1" applyProtection="1">
      <alignment horizontal="left"/>
      <protection/>
    </xf>
    <xf numFmtId="43" fontId="22" fillId="33" borderId="41" xfId="53" applyFont="1" applyFill="1" applyBorder="1" applyAlignment="1" applyProtection="1">
      <alignment/>
      <protection/>
    </xf>
    <xf numFmtId="16" fontId="22" fillId="33" borderId="41" xfId="0" applyNumberFormat="1" applyFont="1" applyFill="1" applyBorder="1" applyAlignment="1" applyProtection="1" quotePrefix="1">
      <alignment/>
      <protection/>
    </xf>
    <xf numFmtId="174" fontId="22" fillId="33" borderId="58" xfId="0" applyNumberFormat="1" applyFont="1" applyFill="1" applyBorder="1" applyAlignment="1" applyProtection="1" quotePrefix="1">
      <alignment horizontal="center"/>
      <protection/>
    </xf>
    <xf numFmtId="16" fontId="37" fillId="34" borderId="0" xfId="0" applyNumberFormat="1" applyFont="1" applyFill="1" applyBorder="1" applyAlignment="1" applyProtection="1" quotePrefix="1">
      <alignment/>
      <protection/>
    </xf>
    <xf numFmtId="7" fontId="6" fillId="34" borderId="18" xfId="47" applyNumberFormat="1" applyFont="1" applyFill="1" applyBorder="1" applyAlignment="1" applyProtection="1">
      <alignment horizontal="center" vertical="center"/>
      <protection locked="0"/>
    </xf>
    <xf numFmtId="0" fontId="14" fillId="33" borderId="41" xfId="0" applyFont="1" applyFill="1" applyBorder="1" applyAlignment="1">
      <alignment horizontal="center"/>
    </xf>
    <xf numFmtId="0" fontId="14" fillId="33" borderId="55" xfId="0" applyFont="1" applyFill="1" applyBorder="1" applyAlignment="1">
      <alignment horizontal="center"/>
    </xf>
    <xf numFmtId="0" fontId="43" fillId="33" borderId="41" xfId="0" applyFont="1" applyFill="1" applyBorder="1" applyAlignment="1">
      <alignment/>
    </xf>
    <xf numFmtId="39" fontId="18" fillId="33" borderId="55" xfId="0" applyNumberFormat="1" applyFont="1" applyFill="1" applyBorder="1" applyAlignment="1">
      <alignment horizontal="center"/>
    </xf>
    <xf numFmtId="0" fontId="14" fillId="33" borderId="40" xfId="0" applyFont="1" applyFill="1" applyBorder="1" applyAlignment="1" quotePrefix="1">
      <alignment/>
    </xf>
    <xf numFmtId="0" fontId="27" fillId="33" borderId="41" xfId="0" applyFont="1" applyFill="1" applyBorder="1" applyAlignment="1">
      <alignment/>
    </xf>
    <xf numFmtId="39" fontId="14" fillId="37" borderId="13" xfId="0" applyNumberFormat="1" applyFont="1" applyFill="1" applyBorder="1" applyAlignment="1" applyProtection="1">
      <alignment horizontal="center"/>
      <protection/>
    </xf>
    <xf numFmtId="0" fontId="6" fillId="37" borderId="13" xfId="0" applyFont="1" applyFill="1" applyBorder="1" applyAlignment="1">
      <alignment horizontal="center"/>
    </xf>
    <xf numFmtId="178" fontId="6" fillId="33" borderId="0" xfId="0" applyNumberFormat="1" applyFont="1" applyFill="1" applyBorder="1" applyAlignment="1" applyProtection="1">
      <alignment/>
      <protection/>
    </xf>
    <xf numFmtId="39" fontId="14" fillId="33" borderId="0" xfId="0" applyNumberFormat="1" applyFont="1" applyFill="1" applyBorder="1" applyAlignment="1" applyProtection="1">
      <alignment/>
      <protection/>
    </xf>
    <xf numFmtId="181" fontId="14" fillId="33" borderId="0" xfId="0" applyNumberFormat="1" applyFont="1" applyFill="1" applyBorder="1" applyAlignment="1" applyProtection="1">
      <alignment horizontal="right"/>
      <protection/>
    </xf>
    <xf numFmtId="0" fontId="14" fillId="33" borderId="16" xfId="0" applyFont="1" applyFill="1" applyBorder="1" applyAlignment="1" applyProtection="1">
      <alignment horizontal="left"/>
      <protection/>
    </xf>
    <xf numFmtId="178" fontId="14" fillId="33" borderId="0" xfId="0" applyNumberFormat="1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horizontal="center"/>
      <protection/>
    </xf>
    <xf numFmtId="181" fontId="14" fillId="33" borderId="10" xfId="0" applyNumberFormat="1" applyFont="1" applyFill="1" applyBorder="1" applyAlignment="1" applyProtection="1">
      <alignment horizontal="center"/>
      <protection locked="0"/>
    </xf>
    <xf numFmtId="39" fontId="14" fillId="33" borderId="0" xfId="0" applyNumberFormat="1" applyFont="1" applyFill="1" applyBorder="1" applyAlignment="1" applyProtection="1">
      <alignment horizontal="center"/>
      <protection locked="0"/>
    </xf>
    <xf numFmtId="182" fontId="6" fillId="33" borderId="0" xfId="0" applyNumberFormat="1" applyFont="1" applyFill="1" applyBorder="1" applyAlignment="1" applyProtection="1">
      <alignment horizontal="center"/>
      <protection/>
    </xf>
    <xf numFmtId="7" fontId="14" fillId="34" borderId="10" xfId="0" applyNumberFormat="1" applyFont="1" applyFill="1" applyBorder="1" applyAlignment="1" applyProtection="1">
      <alignment horizontal="center"/>
      <protection locked="0"/>
    </xf>
    <xf numFmtId="0" fontId="44" fillId="33" borderId="50" xfId="0" applyFont="1" applyFill="1" applyBorder="1" applyAlignment="1">
      <alignment horizontal="center"/>
    </xf>
    <xf numFmtId="39" fontId="14" fillId="34" borderId="13" xfId="0" applyNumberFormat="1" applyFont="1" applyFill="1" applyBorder="1" applyAlignment="1" applyProtection="1">
      <alignment horizontal="center"/>
      <protection locked="0"/>
    </xf>
    <xf numFmtId="39" fontId="14" fillId="34" borderId="10" xfId="0" applyNumberFormat="1" applyFont="1" applyFill="1" applyBorder="1" applyAlignment="1" applyProtection="1">
      <alignment/>
      <protection locked="0"/>
    </xf>
    <xf numFmtId="39" fontId="6" fillId="34" borderId="10" xfId="0" applyNumberFormat="1" applyFont="1" applyFill="1" applyBorder="1" applyAlignment="1" applyProtection="1">
      <alignment/>
      <protection locked="0"/>
    </xf>
    <xf numFmtId="216" fontId="6" fillId="33" borderId="10" xfId="0" applyNumberFormat="1" applyFont="1" applyFill="1" applyBorder="1" applyAlignment="1" applyProtection="1">
      <alignment horizontal="center"/>
      <protection/>
    </xf>
    <xf numFmtId="200" fontId="2" fillId="0" borderId="0" xfId="0" applyNumberFormat="1" applyFont="1" applyAlignment="1">
      <alignment horizontal="center"/>
    </xf>
    <xf numFmtId="178" fontId="6" fillId="33" borderId="16" xfId="0" applyNumberFormat="1" applyFont="1" applyFill="1" applyBorder="1" applyAlignment="1" applyProtection="1">
      <alignment/>
      <protection/>
    </xf>
    <xf numFmtId="37" fontId="14" fillId="34" borderId="13" xfId="0" applyNumberFormat="1" applyFont="1" applyFill="1" applyBorder="1" applyAlignment="1" applyProtection="1">
      <alignment horizontal="center"/>
      <protection locked="0"/>
    </xf>
    <xf numFmtId="39" fontId="6" fillId="34" borderId="13" xfId="0" applyNumberFormat="1" applyFont="1" applyFill="1" applyBorder="1" applyAlignment="1" applyProtection="1">
      <alignment horizontal="center"/>
      <protection locked="0"/>
    </xf>
    <xf numFmtId="39" fontId="14" fillId="34" borderId="28" xfId="0" applyNumberFormat="1" applyFont="1" applyFill="1" applyBorder="1" applyAlignment="1" applyProtection="1">
      <alignment horizontal="center"/>
      <protection locked="0"/>
    </xf>
    <xf numFmtId="37" fontId="6" fillId="34" borderId="13" xfId="0" applyNumberFormat="1" applyFont="1" applyFill="1" applyBorder="1" applyAlignment="1" applyProtection="1">
      <alignment horizontal="center"/>
      <protection locked="0"/>
    </xf>
    <xf numFmtId="37" fontId="6" fillId="34" borderId="10" xfId="0" applyNumberFormat="1" applyFont="1" applyFill="1" applyBorder="1" applyAlignment="1" applyProtection="1">
      <alignment horizontal="center"/>
      <protection locked="0"/>
    </xf>
    <xf numFmtId="37" fontId="14" fillId="34" borderId="10" xfId="0" applyNumberFormat="1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187" fontId="6" fillId="34" borderId="13" xfId="0" applyNumberFormat="1" applyFont="1" applyFill="1" applyBorder="1" applyAlignment="1" applyProtection="1">
      <alignment horizontal="center"/>
      <protection locked="0"/>
    </xf>
    <xf numFmtId="39" fontId="6" fillId="33" borderId="18" xfId="0" applyNumberFormat="1" applyFont="1" applyFill="1" applyBorder="1" applyAlignment="1" applyProtection="1">
      <alignment horizontal="center"/>
      <protection/>
    </xf>
    <xf numFmtId="2" fontId="81" fillId="38" borderId="0" xfId="0" applyNumberFormat="1" applyFont="1" applyFill="1" applyAlignment="1">
      <alignment horizontal="center"/>
    </xf>
    <xf numFmtId="2" fontId="82" fillId="38" borderId="0" xfId="0" applyNumberFormat="1" applyFont="1" applyFill="1" applyBorder="1" applyAlignment="1">
      <alignment horizontal="center"/>
    </xf>
    <xf numFmtId="0" fontId="81" fillId="38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200" fontId="36" fillId="33" borderId="51" xfId="0" applyNumberFormat="1" applyFont="1" applyFill="1" applyBorder="1" applyAlignment="1">
      <alignment horizontal="center"/>
    </xf>
    <xf numFmtId="7" fontId="14" fillId="34" borderId="18" xfId="0" applyNumberFormat="1" applyFont="1" applyFill="1" applyBorder="1" applyAlignment="1" applyProtection="1">
      <alignment horizontal="center"/>
      <protection locked="0"/>
    </xf>
    <xf numFmtId="7" fontId="14" fillId="0" borderId="18" xfId="0" applyNumberFormat="1" applyFont="1" applyBorder="1" applyAlignment="1">
      <alignment horizontal="center"/>
    </xf>
    <xf numFmtId="0" fontId="6" fillId="33" borderId="24" xfId="0" applyFont="1" applyFill="1" applyBorder="1" applyAlignment="1" applyProtection="1">
      <alignment horizontal="fill"/>
      <protection/>
    </xf>
    <xf numFmtId="0" fontId="14" fillId="0" borderId="12" xfId="0" applyFont="1" applyBorder="1" applyAlignment="1">
      <alignment horizontal="center"/>
    </xf>
    <xf numFmtId="218" fontId="6" fillId="34" borderId="12" xfId="0" applyNumberFormat="1" applyFont="1" applyFill="1" applyBorder="1" applyAlignment="1" applyProtection="1">
      <alignment horizontal="center"/>
      <protection locked="0"/>
    </xf>
    <xf numFmtId="7" fontId="6" fillId="33" borderId="18" xfId="0" applyNumberFormat="1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 applyProtection="1" quotePrefix="1">
      <alignment horizontal="center"/>
      <protection/>
    </xf>
    <xf numFmtId="0" fontId="13" fillId="34" borderId="10" xfId="0" applyFont="1" applyFill="1" applyBorder="1" applyAlignment="1" applyProtection="1">
      <alignment/>
      <protection/>
    </xf>
    <xf numFmtId="0" fontId="6" fillId="33" borderId="37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5" fontId="6" fillId="34" borderId="0" xfId="0" applyNumberFormat="1" applyFont="1" applyFill="1" applyBorder="1" applyAlignment="1">
      <alignment horizontal="center"/>
    </xf>
    <xf numFmtId="7" fontId="6" fillId="33" borderId="21" xfId="0" applyNumberFormat="1" applyFont="1" applyFill="1" applyBorder="1" applyAlignment="1" applyProtection="1">
      <alignment horizontal="center"/>
      <protection/>
    </xf>
    <xf numFmtId="174" fontId="6" fillId="34" borderId="17" xfId="0" applyNumberFormat="1" applyFont="1" applyFill="1" applyBorder="1" applyAlignment="1" applyProtection="1">
      <alignment horizontal="center"/>
      <protection locked="0"/>
    </xf>
    <xf numFmtId="7" fontId="14" fillId="0" borderId="12" xfId="0" applyNumberFormat="1" applyFont="1" applyBorder="1" applyAlignment="1" applyProtection="1">
      <alignment horizontal="center"/>
      <protection locked="0"/>
    </xf>
    <xf numFmtId="7" fontId="14" fillId="0" borderId="14" xfId="0" applyNumberFormat="1" applyFont="1" applyBorder="1" applyAlignment="1" applyProtection="1">
      <alignment horizontal="center"/>
      <protection locked="0"/>
    </xf>
    <xf numFmtId="221" fontId="6" fillId="34" borderId="12" xfId="0" applyNumberFormat="1" applyFont="1" applyFill="1" applyBorder="1" applyAlignment="1" applyProtection="1">
      <alignment horizontal="center"/>
      <protection locked="0"/>
    </xf>
    <xf numFmtId="188" fontId="18" fillId="33" borderId="52" xfId="53" applyNumberFormat="1" applyFont="1" applyFill="1" applyBorder="1" applyAlignment="1">
      <alignment horizontal="center"/>
    </xf>
    <xf numFmtId="218" fontId="6" fillId="34" borderId="15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6" fillId="37" borderId="16" xfId="0" applyFont="1" applyFill="1" applyBorder="1" applyAlignment="1" applyProtection="1">
      <alignment horizontal="center"/>
      <protection/>
    </xf>
    <xf numFmtId="0" fontId="6" fillId="37" borderId="18" xfId="0" applyFont="1" applyFill="1" applyBorder="1" applyAlignment="1" applyProtection="1">
      <alignment horizontal="center"/>
      <protection/>
    </xf>
    <xf numFmtId="0" fontId="29" fillId="37" borderId="49" xfId="0" applyFont="1" applyFill="1" applyBorder="1" applyAlignment="1">
      <alignment horizontal="center"/>
    </xf>
    <xf numFmtId="0" fontId="29" fillId="37" borderId="50" xfId="0" applyFont="1" applyFill="1" applyBorder="1" applyAlignment="1">
      <alignment horizontal="center"/>
    </xf>
    <xf numFmtId="0" fontId="29" fillId="37" borderId="51" xfId="0" applyFont="1" applyFill="1" applyBorder="1" applyAlignment="1">
      <alignment horizontal="center"/>
    </xf>
    <xf numFmtId="0" fontId="9" fillId="37" borderId="49" xfId="0" applyFont="1" applyFill="1" applyBorder="1" applyAlignment="1">
      <alignment horizontal="center"/>
    </xf>
    <xf numFmtId="0" fontId="9" fillId="37" borderId="50" xfId="0" applyFont="1" applyFill="1" applyBorder="1" applyAlignment="1">
      <alignment horizontal="center"/>
    </xf>
    <xf numFmtId="0" fontId="9" fillId="37" borderId="51" xfId="0" applyFont="1" applyFill="1" applyBorder="1" applyAlignment="1">
      <alignment horizontal="center"/>
    </xf>
    <xf numFmtId="0" fontId="20" fillId="37" borderId="59" xfId="0" applyFont="1" applyFill="1" applyBorder="1" applyAlignment="1" applyProtection="1">
      <alignment horizontal="center"/>
      <protection/>
    </xf>
    <xf numFmtId="0" fontId="20" fillId="37" borderId="23" xfId="0" applyFont="1" applyFill="1" applyBorder="1" applyAlignment="1" applyProtection="1">
      <alignment horizontal="center"/>
      <protection/>
    </xf>
    <xf numFmtId="0" fontId="20" fillId="37" borderId="21" xfId="0" applyFont="1" applyFill="1" applyBorder="1" applyAlignment="1" applyProtection="1">
      <alignment horizontal="center"/>
      <protection/>
    </xf>
    <xf numFmtId="0" fontId="19" fillId="37" borderId="49" xfId="0" applyFont="1" applyFill="1" applyBorder="1" applyAlignment="1">
      <alignment horizontal="center"/>
    </xf>
    <xf numFmtId="0" fontId="19" fillId="37" borderId="50" xfId="0" applyFont="1" applyFill="1" applyBorder="1" applyAlignment="1">
      <alignment horizontal="center"/>
    </xf>
    <xf numFmtId="0" fontId="19" fillId="37" borderId="51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29" fillId="33" borderId="49" xfId="0" applyFont="1" applyFill="1" applyBorder="1" applyAlignment="1">
      <alignment horizontal="center"/>
    </xf>
    <xf numFmtId="0" fontId="29" fillId="33" borderId="50" xfId="0" applyFont="1" applyFill="1" applyBorder="1" applyAlignment="1">
      <alignment horizontal="center"/>
    </xf>
    <xf numFmtId="0" fontId="29" fillId="33" borderId="51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20" fillId="33" borderId="59" xfId="0" applyFont="1" applyFill="1" applyBorder="1" applyAlignment="1" applyProtection="1">
      <alignment horizontal="center"/>
      <protection/>
    </xf>
    <xf numFmtId="0" fontId="20" fillId="33" borderId="23" xfId="0" applyFont="1" applyFill="1" applyBorder="1" applyAlignment="1" applyProtection="1">
      <alignment horizontal="center"/>
      <protection/>
    </xf>
    <xf numFmtId="0" fontId="20" fillId="33" borderId="21" xfId="0" applyFont="1" applyFill="1" applyBorder="1" applyAlignment="1" applyProtection="1">
      <alignment horizontal="center"/>
      <protection/>
    </xf>
    <xf numFmtId="20" fontId="6" fillId="33" borderId="31" xfId="0" applyNumberFormat="1" applyFont="1" applyFill="1" applyBorder="1" applyAlignment="1" applyProtection="1">
      <alignment horizontal="center"/>
      <protection/>
    </xf>
    <xf numFmtId="0" fontId="31" fillId="33" borderId="49" xfId="0" applyFont="1" applyFill="1" applyBorder="1" applyAlignment="1">
      <alignment horizontal="center"/>
    </xf>
    <xf numFmtId="0" fontId="31" fillId="33" borderId="50" xfId="0" applyFont="1" applyFill="1" applyBorder="1" applyAlignment="1">
      <alignment horizontal="center"/>
    </xf>
    <xf numFmtId="0" fontId="31" fillId="33" borderId="51" xfId="0" applyFont="1" applyFill="1" applyBorder="1" applyAlignment="1">
      <alignment horizontal="center"/>
    </xf>
    <xf numFmtId="0" fontId="35" fillId="33" borderId="49" xfId="0" applyFont="1" applyFill="1" applyBorder="1" applyAlignment="1">
      <alignment horizontal="center"/>
    </xf>
    <xf numFmtId="0" fontId="35" fillId="33" borderId="50" xfId="0" applyFont="1" applyFill="1" applyBorder="1" applyAlignment="1">
      <alignment horizontal="center"/>
    </xf>
    <xf numFmtId="0" fontId="35" fillId="33" borderId="51" xfId="0" applyFont="1" applyFill="1" applyBorder="1" applyAlignment="1">
      <alignment horizontal="center"/>
    </xf>
    <xf numFmtId="0" fontId="20" fillId="33" borderId="22" xfId="0" applyFont="1" applyFill="1" applyBorder="1" applyAlignment="1" applyProtection="1">
      <alignment horizontal="center"/>
      <protection/>
    </xf>
    <xf numFmtId="0" fontId="19" fillId="33" borderId="49" xfId="0" applyFont="1" applyFill="1" applyBorder="1" applyAlignment="1">
      <alignment horizontal="center"/>
    </xf>
    <xf numFmtId="0" fontId="19" fillId="33" borderId="50" xfId="0" applyFont="1" applyFill="1" applyBorder="1" applyAlignment="1">
      <alignment horizontal="center"/>
    </xf>
    <xf numFmtId="0" fontId="19" fillId="33" borderId="51" xfId="0" applyFont="1" applyFill="1" applyBorder="1" applyAlignment="1">
      <alignment horizontal="center"/>
    </xf>
    <xf numFmtId="0" fontId="33" fillId="33" borderId="49" xfId="0" applyFont="1" applyFill="1" applyBorder="1" applyAlignment="1">
      <alignment horizontal="center"/>
    </xf>
    <xf numFmtId="0" fontId="33" fillId="33" borderId="50" xfId="0" applyFont="1" applyFill="1" applyBorder="1" applyAlignment="1">
      <alignment horizontal="center"/>
    </xf>
    <xf numFmtId="0" fontId="33" fillId="33" borderId="51" xfId="0" applyFont="1" applyFill="1" applyBorder="1" applyAlignment="1">
      <alignment horizontal="center"/>
    </xf>
    <xf numFmtId="0" fontId="40" fillId="0" borderId="23" xfId="0" applyFont="1" applyBorder="1" applyAlignment="1">
      <alignment horizontal="left" vertical="center"/>
    </xf>
    <xf numFmtId="174" fontId="15" fillId="33" borderId="22" xfId="0" applyNumberFormat="1" applyFont="1" applyFill="1" applyBorder="1" applyAlignment="1" applyProtection="1">
      <alignment horizontal="center"/>
      <protection/>
    </xf>
    <xf numFmtId="174" fontId="15" fillId="33" borderId="23" xfId="0" applyNumberFormat="1" applyFont="1" applyFill="1" applyBorder="1" applyAlignment="1" applyProtection="1">
      <alignment horizontal="center"/>
      <protection/>
    </xf>
    <xf numFmtId="0" fontId="15" fillId="33" borderId="21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center"/>
      <protection/>
    </xf>
    <xf numFmtId="0" fontId="13" fillId="33" borderId="24" xfId="0" applyFont="1" applyFill="1" applyBorder="1" applyAlignment="1" applyProtection="1">
      <alignment horizontal="center"/>
      <protection/>
    </xf>
    <xf numFmtId="0" fontId="13" fillId="33" borderId="17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174" fontId="6" fillId="34" borderId="37" xfId="0" applyNumberFormat="1" applyFont="1" applyFill="1" applyBorder="1" applyAlignment="1" applyProtection="1">
      <alignment horizontal="center"/>
      <protection locked="0"/>
    </xf>
    <xf numFmtId="174" fontId="6" fillId="34" borderId="31" xfId="0" applyNumberFormat="1" applyFont="1" applyFill="1" applyBorder="1" applyAlignment="1" applyProtection="1">
      <alignment horizontal="center"/>
      <protection locked="0"/>
    </xf>
    <xf numFmtId="174" fontId="6" fillId="34" borderId="19" xfId="0" applyNumberFormat="1" applyFont="1" applyFill="1" applyBorder="1" applyAlignment="1" applyProtection="1">
      <alignment horizontal="center"/>
      <protection locked="0"/>
    </xf>
    <xf numFmtId="0" fontId="13" fillId="33" borderId="22" xfId="0" applyFont="1" applyFill="1" applyBorder="1" applyAlignment="1" applyProtection="1">
      <alignment horizontal="center"/>
      <protection/>
    </xf>
    <xf numFmtId="0" fontId="13" fillId="33" borderId="23" xfId="0" applyFont="1" applyFill="1" applyBorder="1" applyAlignment="1" applyProtection="1">
      <alignment horizontal="center"/>
      <protection/>
    </xf>
    <xf numFmtId="174" fontId="6" fillId="34" borderId="16" xfId="0" applyNumberFormat="1" applyFont="1" applyFill="1" applyBorder="1" applyAlignment="1" applyProtection="1">
      <alignment horizontal="center"/>
      <protection locked="0"/>
    </xf>
    <xf numFmtId="174" fontId="6" fillId="34" borderId="0" xfId="0" applyNumberFormat="1" applyFont="1" applyFill="1" applyBorder="1" applyAlignment="1" applyProtection="1">
      <alignment horizontal="center"/>
      <protection locked="0"/>
    </xf>
    <xf numFmtId="0" fontId="13" fillId="33" borderId="21" xfId="0" applyFont="1" applyFill="1" applyBorder="1" applyAlignment="1" applyProtection="1">
      <alignment horizontal="center"/>
      <protection/>
    </xf>
    <xf numFmtId="0" fontId="13" fillId="33" borderId="37" xfId="0" applyFont="1" applyFill="1" applyBorder="1" applyAlignment="1" applyProtection="1">
      <alignment horizontal="center"/>
      <protection/>
    </xf>
    <xf numFmtId="0" fontId="13" fillId="33" borderId="31" xfId="0" applyFont="1" applyFill="1" applyBorder="1" applyAlignment="1" applyProtection="1">
      <alignment horizontal="center"/>
      <protection/>
    </xf>
    <xf numFmtId="0" fontId="15" fillId="35" borderId="37" xfId="0" applyFont="1" applyFill="1" applyBorder="1" applyAlignment="1" applyProtection="1">
      <alignment horizontal="center"/>
      <protection/>
    </xf>
    <xf numFmtId="0" fontId="15" fillId="35" borderId="31" xfId="0" applyFont="1" applyFill="1" applyBorder="1" applyAlignment="1" applyProtection="1">
      <alignment horizontal="center"/>
      <protection/>
    </xf>
    <xf numFmtId="0" fontId="15" fillId="35" borderId="19" xfId="0" applyFont="1" applyFill="1" applyBorder="1" applyAlignment="1" applyProtection="1">
      <alignment horizontal="center"/>
      <protection/>
    </xf>
    <xf numFmtId="174" fontId="6" fillId="34" borderId="15" xfId="0" applyNumberFormat="1" applyFont="1" applyFill="1" applyBorder="1" applyAlignment="1" applyProtection="1">
      <alignment horizontal="center"/>
      <protection locked="0"/>
    </xf>
    <xf numFmtId="174" fontId="6" fillId="34" borderId="24" xfId="0" applyNumberFormat="1" applyFont="1" applyFill="1" applyBorder="1" applyAlignment="1" applyProtection="1">
      <alignment horizontal="center"/>
      <protection locked="0"/>
    </xf>
    <xf numFmtId="7" fontId="6" fillId="34" borderId="15" xfId="53" applyNumberFormat="1" applyFont="1" applyFill="1" applyBorder="1" applyAlignment="1" applyProtection="1">
      <alignment horizontal="center"/>
      <protection locked="0"/>
    </xf>
    <xf numFmtId="7" fontId="6" fillId="34" borderId="24" xfId="53" applyNumberFormat="1" applyFont="1" applyFill="1" applyBorder="1" applyAlignment="1" applyProtection="1">
      <alignment horizontal="center"/>
      <protection locked="0"/>
    </xf>
    <xf numFmtId="7" fontId="6" fillId="34" borderId="17" xfId="53" applyNumberFormat="1" applyFont="1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17" fillId="33" borderId="22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0</xdr:row>
      <xdr:rowOff>0</xdr:rowOff>
    </xdr:from>
    <xdr:to>
      <xdr:col>17</xdr:col>
      <xdr:colOff>638175</xdr:colOff>
      <xdr:row>62</xdr:row>
      <xdr:rowOff>0</xdr:rowOff>
    </xdr:to>
    <xdr:grpSp>
      <xdr:nvGrpSpPr>
        <xdr:cNvPr id="1" name="Group 106"/>
        <xdr:cNvGrpSpPr>
          <a:grpSpLocks/>
        </xdr:cNvGrpSpPr>
      </xdr:nvGrpSpPr>
      <xdr:grpSpPr>
        <a:xfrm>
          <a:off x="6524625" y="0"/>
          <a:ext cx="5772150" cy="9134475"/>
          <a:chOff x="1290" y="0"/>
          <a:chExt cx="743" cy="1137"/>
        </a:xfrm>
        <a:solidFill>
          <a:srgbClr val="FFFFFF"/>
        </a:solidFill>
      </xdr:grpSpPr>
      <xdr:pic>
        <xdr:nvPicPr>
          <xdr:cNvPr id="2" name="Picture 1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90" y="0"/>
            <a:ext cx="743" cy="113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Oval 108"/>
          <xdr:cNvSpPr>
            <a:spLocks/>
          </xdr:cNvSpPr>
        </xdr:nvSpPr>
        <xdr:spPr>
          <a:xfrm>
            <a:off x="1322" y="653"/>
            <a:ext cx="143" cy="33"/>
          </a:xfrm>
          <a:prstGeom prst="ellips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4" name="Oval 109"/>
          <xdr:cNvSpPr>
            <a:spLocks/>
          </xdr:cNvSpPr>
        </xdr:nvSpPr>
        <xdr:spPr>
          <a:xfrm>
            <a:off x="1663" y="796"/>
            <a:ext cx="143" cy="33"/>
          </a:xfrm>
          <a:prstGeom prst="ellips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5" name="AutoShape 110"/>
          <xdr:cNvSpPr>
            <a:spLocks/>
          </xdr:cNvSpPr>
        </xdr:nvSpPr>
        <xdr:spPr>
          <a:xfrm>
            <a:off x="1466" y="670"/>
            <a:ext cx="218" cy="130"/>
          </a:xfrm>
          <a:prstGeom prst="bentConnector2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6" name="Oval 111"/>
          <xdr:cNvSpPr>
            <a:spLocks/>
          </xdr:cNvSpPr>
        </xdr:nvSpPr>
        <xdr:spPr>
          <a:xfrm>
            <a:off x="1816" y="494"/>
            <a:ext cx="106" cy="34"/>
          </a:xfrm>
          <a:prstGeom prst="ellips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7" name="Oval 112"/>
          <xdr:cNvSpPr>
            <a:spLocks/>
          </xdr:cNvSpPr>
        </xdr:nvSpPr>
        <xdr:spPr>
          <a:xfrm>
            <a:off x="1794" y="1043"/>
            <a:ext cx="143" cy="33"/>
          </a:xfrm>
          <a:prstGeom prst="ellipse">
            <a:avLst/>
          </a:prstGeom>
          <a:noFill/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ick%20Up%20Furg&#227;o%20-%20Coleta%20Hospitalar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ck Up Fiorino Coleta Hospital"/>
    </sheetNames>
    <sheetDataSet>
      <sheetData sheetId="0">
        <row r="8">
          <cell r="F8">
            <v>3080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workbookViewId="0" topLeftCell="A1">
      <selection activeCell="C21" sqref="C21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2" width="11.00390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803" t="s">
        <v>312</v>
      </c>
      <c r="B1" s="804"/>
      <c r="C1" s="804"/>
      <c r="D1" s="804"/>
      <c r="E1" s="804"/>
      <c r="F1" s="804"/>
      <c r="G1" s="804"/>
      <c r="H1" s="804"/>
      <c r="I1" s="804"/>
      <c r="J1" s="804"/>
      <c r="K1" s="805"/>
      <c r="L1" s="432"/>
      <c r="M1" s="806" t="str">
        <f>A1</f>
        <v>CUSTO     OPERACIONAL     DE     MÁQUINA </v>
      </c>
      <c r="N1" s="807"/>
      <c r="O1" s="807"/>
      <c r="P1" s="807"/>
      <c r="Q1" s="807"/>
      <c r="R1" s="807"/>
      <c r="S1" s="807"/>
      <c r="T1" s="807"/>
      <c r="U1" s="807"/>
      <c r="V1" s="807"/>
      <c r="W1" s="808"/>
    </row>
    <row r="2" spans="1:23" ht="20.25">
      <c r="A2" s="438" t="s">
        <v>339</v>
      </c>
      <c r="B2" s="439"/>
      <c r="C2" s="624"/>
      <c r="D2" s="439"/>
      <c r="E2" s="439"/>
      <c r="F2" s="439"/>
      <c r="G2" s="440"/>
      <c r="H2" s="439"/>
      <c r="I2" s="439"/>
      <c r="J2" s="439"/>
      <c r="K2" s="625"/>
      <c r="L2" s="432"/>
      <c r="M2" s="626" t="str">
        <f>A2</f>
        <v>DEMONSTRATIVO DE CUSTO OPERACIONAL UNITÁRIO DE TRATOR DE ESTEIRA</v>
      </c>
      <c r="N2" s="439"/>
      <c r="O2" s="439"/>
      <c r="P2" s="439"/>
      <c r="Q2" s="439"/>
      <c r="R2" s="439"/>
      <c r="S2" s="440"/>
      <c r="T2" s="439"/>
      <c r="U2" s="439"/>
      <c r="V2" s="439"/>
      <c r="W2" s="441"/>
    </row>
    <row r="3" spans="1:23" ht="21" thickBot="1">
      <c r="A3" s="442" t="s">
        <v>314</v>
      </c>
      <c r="B3" s="443"/>
      <c r="C3" s="443"/>
      <c r="D3" s="443"/>
      <c r="E3" s="444"/>
      <c r="F3" s="443"/>
      <c r="G3" s="443"/>
      <c r="H3" s="443"/>
      <c r="I3" s="443"/>
      <c r="J3" s="443"/>
      <c r="K3" s="445" t="s">
        <v>51</v>
      </c>
      <c r="L3" s="432"/>
      <c r="M3" s="446" t="s">
        <v>52</v>
      </c>
      <c r="N3" s="447"/>
      <c r="O3" s="447"/>
      <c r="P3" s="447"/>
      <c r="Q3" s="447"/>
      <c r="R3" s="447"/>
      <c r="S3" s="447"/>
      <c r="T3" s="447"/>
      <c r="U3" s="447"/>
      <c r="V3" s="447"/>
      <c r="W3" s="448" t="s">
        <v>51</v>
      </c>
    </row>
    <row r="4" spans="1:23" ht="12.75">
      <c r="A4" s="449"/>
      <c r="B4" s="450"/>
      <c r="C4" s="450"/>
      <c r="D4" s="450"/>
      <c r="E4" s="450"/>
      <c r="F4" s="450"/>
      <c r="G4" s="450"/>
      <c r="H4" s="450"/>
      <c r="I4" s="450"/>
      <c r="J4" s="450"/>
      <c r="K4" s="451"/>
      <c r="L4" s="432"/>
      <c r="M4" s="452" t="str">
        <f>A6</f>
        <v>Descrição do Veiculo: Trator  de  Esteira   CAT  D6  ou  similar</v>
      </c>
      <c r="N4" s="453"/>
      <c r="O4" s="453"/>
      <c r="P4" s="453"/>
      <c r="Q4" s="453"/>
      <c r="R4" s="453"/>
      <c r="S4" s="453"/>
      <c r="T4" s="453"/>
      <c r="U4" s="453"/>
      <c r="V4" s="453"/>
      <c r="W4" s="455"/>
    </row>
    <row r="5" spans="1:23" ht="20.25">
      <c r="A5" s="809" t="s">
        <v>53</v>
      </c>
      <c r="B5" s="810"/>
      <c r="C5" s="810"/>
      <c r="D5" s="810"/>
      <c r="E5" s="810"/>
      <c r="F5" s="810"/>
      <c r="G5" s="810"/>
      <c r="H5" s="810"/>
      <c r="I5" s="810"/>
      <c r="J5" s="811"/>
      <c r="K5" s="456"/>
      <c r="L5" s="432"/>
      <c r="M5" s="457" t="str">
        <f>A7</f>
        <v>Ano de Fabricação: 1990</v>
      </c>
      <c r="N5" s="458"/>
      <c r="O5" s="458"/>
      <c r="P5" s="459"/>
      <c r="Q5" s="460"/>
      <c r="R5" s="458"/>
      <c r="S5" s="458"/>
      <c r="T5" s="458"/>
      <c r="U5" s="458"/>
      <c r="V5" s="458"/>
      <c r="W5" s="451"/>
    </row>
    <row r="6" spans="1:23" ht="12.75">
      <c r="A6" s="452" t="s">
        <v>340</v>
      </c>
      <c r="B6" s="453"/>
      <c r="C6" s="453"/>
      <c r="D6" s="453"/>
      <c r="E6" s="462"/>
      <c r="F6" s="453"/>
      <c r="G6" s="453"/>
      <c r="H6" s="453"/>
      <c r="I6" s="453"/>
      <c r="J6" s="453"/>
      <c r="K6" s="463"/>
      <c r="L6" s="432"/>
      <c r="M6" s="457" t="str">
        <f>A8</f>
        <v>Tipo de Combustível: Diesel</v>
      </c>
      <c r="N6" s="458"/>
      <c r="O6" s="458"/>
      <c r="P6" s="458"/>
      <c r="Q6" s="464"/>
      <c r="R6" s="458"/>
      <c r="S6" s="458"/>
      <c r="T6" s="458"/>
      <c r="U6" s="458"/>
      <c r="V6" s="458"/>
      <c r="W6" s="451"/>
    </row>
    <row r="7" spans="1:23" ht="12.75">
      <c r="A7" s="457" t="s">
        <v>341</v>
      </c>
      <c r="B7" s="458"/>
      <c r="C7" s="458"/>
      <c r="D7" s="458"/>
      <c r="E7" s="458"/>
      <c r="F7" s="458"/>
      <c r="G7" s="458"/>
      <c r="H7" s="458"/>
      <c r="I7" s="458"/>
      <c r="J7" s="458"/>
      <c r="K7" s="465"/>
      <c r="L7" s="432"/>
      <c r="M7" s="457" t="str">
        <f>A9</f>
        <v>Hs  Estimada: </v>
      </c>
      <c r="N7" s="458"/>
      <c r="O7" s="627">
        <f>C9</f>
        <v>260</v>
      </c>
      <c r="P7" s="458" t="str">
        <f>D9</f>
        <v>Hs / mês</v>
      </c>
      <c r="Q7" s="458"/>
      <c r="R7" s="458"/>
      <c r="S7" s="458"/>
      <c r="T7" s="458"/>
      <c r="U7" s="458"/>
      <c r="V7" s="458"/>
      <c r="W7" s="451"/>
    </row>
    <row r="8" spans="1:23" ht="12.75">
      <c r="A8" s="457" t="s">
        <v>56</v>
      </c>
      <c r="B8" s="458"/>
      <c r="C8" s="458"/>
      <c r="D8" s="458"/>
      <c r="E8" s="458"/>
      <c r="F8" s="458"/>
      <c r="G8" s="458"/>
      <c r="H8" s="458" t="s">
        <v>57</v>
      </c>
      <c r="I8" s="468">
        <v>0</v>
      </c>
      <c r="J8" s="458"/>
      <c r="K8" s="465"/>
      <c r="L8" s="432"/>
      <c r="M8" s="628" t="str">
        <f>A10</f>
        <v>Horário:</v>
      </c>
      <c r="N8" s="629">
        <v>0.333333333333333</v>
      </c>
      <c r="O8" s="630" t="s">
        <v>58</v>
      </c>
      <c r="P8" s="629">
        <f>D10</f>
        <v>0.916666666666667</v>
      </c>
      <c r="Q8" s="631" t="s">
        <v>59</v>
      </c>
      <c r="R8" s="632"/>
      <c r="S8" s="633"/>
      <c r="T8" s="633"/>
      <c r="U8" s="633"/>
      <c r="V8" s="633"/>
      <c r="W8" s="451"/>
    </row>
    <row r="9" spans="1:23" ht="12.75">
      <c r="A9" s="457" t="s">
        <v>317</v>
      </c>
      <c r="B9" s="458"/>
      <c r="C9" s="478">
        <v>260</v>
      </c>
      <c r="D9" s="458" t="s">
        <v>318</v>
      </c>
      <c r="E9" s="458"/>
      <c r="F9" s="458"/>
      <c r="G9" s="458"/>
      <c r="H9" s="458"/>
      <c r="I9" s="458"/>
      <c r="J9" s="458"/>
      <c r="K9" s="465"/>
      <c r="L9" s="432"/>
      <c r="M9" s="479"/>
      <c r="N9" s="480"/>
      <c r="O9" s="480"/>
      <c r="P9" s="480"/>
      <c r="Q9" s="480"/>
      <c r="R9" s="454"/>
      <c r="S9" s="481"/>
      <c r="T9" s="480"/>
      <c r="U9" s="482" t="s">
        <v>64</v>
      </c>
      <c r="V9" s="483"/>
      <c r="W9" s="451"/>
    </row>
    <row r="10" spans="1:23" ht="12.75">
      <c r="A10" s="628" t="s">
        <v>65</v>
      </c>
      <c r="B10" s="634">
        <v>0.333333333333333</v>
      </c>
      <c r="C10" s="630" t="s">
        <v>58</v>
      </c>
      <c r="D10" s="634">
        <v>0.916666666666667</v>
      </c>
      <c r="E10" s="631" t="s">
        <v>59</v>
      </c>
      <c r="F10" s="632"/>
      <c r="G10" s="633"/>
      <c r="H10" s="633"/>
      <c r="I10" s="633"/>
      <c r="J10" s="633"/>
      <c r="K10" s="465"/>
      <c r="L10" s="432"/>
      <c r="M10" s="485" t="s">
        <v>66</v>
      </c>
      <c r="N10" s="486" t="s">
        <v>67</v>
      </c>
      <c r="O10" s="486" t="s">
        <v>68</v>
      </c>
      <c r="P10" s="486" t="s">
        <v>67</v>
      </c>
      <c r="Q10" s="486" t="s">
        <v>69</v>
      </c>
      <c r="R10" s="801" t="s">
        <v>70</v>
      </c>
      <c r="S10" s="802"/>
      <c r="T10" s="486" t="s">
        <v>71</v>
      </c>
      <c r="U10" s="486" t="s">
        <v>72</v>
      </c>
      <c r="V10" s="487" t="s">
        <v>73</v>
      </c>
      <c r="W10" s="451"/>
    </row>
    <row r="11" spans="1:23" ht="12.75">
      <c r="A11" s="488"/>
      <c r="B11" s="489"/>
      <c r="C11" s="489"/>
      <c r="D11" s="489"/>
      <c r="E11" s="489"/>
      <c r="F11" s="489"/>
      <c r="G11" s="489"/>
      <c r="H11" s="489"/>
      <c r="I11" s="482" t="s">
        <v>64</v>
      </c>
      <c r="J11" s="490"/>
      <c r="K11" s="491"/>
      <c r="L11" s="432"/>
      <c r="M11" s="492"/>
      <c r="N11" s="493"/>
      <c r="O11" s="493"/>
      <c r="P11" s="493"/>
      <c r="Q11" s="493"/>
      <c r="R11" s="474"/>
      <c r="S11" s="494"/>
      <c r="T11" s="493"/>
      <c r="U11" s="495" t="s">
        <v>74</v>
      </c>
      <c r="V11" s="496"/>
      <c r="W11" s="497"/>
    </row>
    <row r="12" spans="1:23" ht="12.75">
      <c r="A12" s="485" t="s">
        <v>75</v>
      </c>
      <c r="B12" s="486" t="s">
        <v>67</v>
      </c>
      <c r="C12" s="486" t="s">
        <v>76</v>
      </c>
      <c r="D12" s="486" t="s">
        <v>67</v>
      </c>
      <c r="E12" s="486" t="s">
        <v>66</v>
      </c>
      <c r="F12" s="486" t="s">
        <v>69</v>
      </c>
      <c r="G12" s="486" t="s">
        <v>70</v>
      </c>
      <c r="H12" s="486" t="s">
        <v>71</v>
      </c>
      <c r="I12" s="486" t="s">
        <v>72</v>
      </c>
      <c r="J12" s="487" t="s">
        <v>73</v>
      </c>
      <c r="K12" s="498"/>
      <c r="L12" s="432"/>
      <c r="M12" s="479"/>
      <c r="N12" s="480"/>
      <c r="O12" s="482"/>
      <c r="P12" s="499"/>
      <c r="Q12" s="499"/>
      <c r="R12" s="461"/>
      <c r="S12" s="461"/>
      <c r="T12" s="480"/>
      <c r="U12" s="499"/>
      <c r="V12" s="483"/>
      <c r="W12" s="451"/>
    </row>
    <row r="13" spans="1:23" ht="12.75">
      <c r="A13" s="500"/>
      <c r="B13" s="501"/>
      <c r="C13" s="501"/>
      <c r="D13" s="501"/>
      <c r="E13" s="501"/>
      <c r="F13" s="501"/>
      <c r="G13" s="501"/>
      <c r="H13" s="501"/>
      <c r="I13" s="495" t="s">
        <v>74</v>
      </c>
      <c r="J13" s="502"/>
      <c r="K13" s="491"/>
      <c r="L13" s="432"/>
      <c r="M13" s="503"/>
      <c r="N13" s="499"/>
      <c r="O13" s="529"/>
      <c r="P13" s="499"/>
      <c r="Q13" s="504" t="s">
        <v>77</v>
      </c>
      <c r="R13" s="505" t="s">
        <v>319</v>
      </c>
      <c r="S13" s="506"/>
      <c r="T13" s="499"/>
      <c r="U13" s="499"/>
      <c r="V13" s="487" t="s">
        <v>73</v>
      </c>
      <c r="W13" s="451"/>
    </row>
    <row r="14" spans="1:23" ht="12.75">
      <c r="A14" s="503"/>
      <c r="B14" s="499"/>
      <c r="C14" s="499"/>
      <c r="D14" s="499"/>
      <c r="E14" s="499"/>
      <c r="F14" s="499"/>
      <c r="G14" s="499"/>
      <c r="H14" s="499"/>
      <c r="I14" s="499"/>
      <c r="J14" s="507"/>
      <c r="K14" s="465"/>
      <c r="L14" s="432"/>
      <c r="M14" s="503"/>
      <c r="N14" s="499"/>
      <c r="O14" s="529"/>
      <c r="P14" s="499"/>
      <c r="Q14" s="499"/>
      <c r="R14" s="461"/>
      <c r="S14" s="506"/>
      <c r="T14" s="499"/>
      <c r="U14" s="508"/>
      <c r="V14" s="507"/>
      <c r="W14" s="451"/>
    </row>
    <row r="15" spans="1:23" ht="12.75">
      <c r="A15" s="503"/>
      <c r="B15" s="499"/>
      <c r="C15" s="499"/>
      <c r="D15" s="499"/>
      <c r="E15" s="499"/>
      <c r="F15" s="504" t="s">
        <v>79</v>
      </c>
      <c r="G15" s="486" t="s">
        <v>80</v>
      </c>
      <c r="H15" s="499"/>
      <c r="I15" s="499"/>
      <c r="J15" s="507"/>
      <c r="K15" s="465"/>
      <c r="L15" s="432"/>
      <c r="M15" s="635">
        <v>0.145</v>
      </c>
      <c r="N15" s="486" t="s">
        <v>81</v>
      </c>
      <c r="O15" s="510">
        <v>1000</v>
      </c>
      <c r="P15" s="486" t="s">
        <v>59</v>
      </c>
      <c r="Q15" s="504" t="s">
        <v>82</v>
      </c>
      <c r="R15" s="505" t="s">
        <v>83</v>
      </c>
      <c r="S15" s="506"/>
      <c r="T15" s="539">
        <f>(M15/O15)</f>
        <v>0.000145</v>
      </c>
      <c r="U15" s="508">
        <f>I17</f>
        <v>147500</v>
      </c>
      <c r="V15" s="542">
        <f aca="true" t="shared" si="0" ref="V15:V21">(+U15*T15)</f>
        <v>21.3875</v>
      </c>
      <c r="W15" s="514">
        <f>V15*C9/V57</f>
        <v>0.2391</v>
      </c>
    </row>
    <row r="16" spans="1:23" ht="12.75">
      <c r="A16" s="503"/>
      <c r="B16" s="499"/>
      <c r="C16" s="499"/>
      <c r="D16" s="499"/>
      <c r="E16" s="499"/>
      <c r="F16" s="499"/>
      <c r="G16" s="499"/>
      <c r="H16" s="499"/>
      <c r="I16" s="499"/>
      <c r="J16" s="507"/>
      <c r="K16" s="465"/>
      <c r="L16" s="432"/>
      <c r="M16" s="636">
        <v>22</v>
      </c>
      <c r="N16" s="486" t="s">
        <v>51</v>
      </c>
      <c r="O16" s="510" t="s">
        <v>84</v>
      </c>
      <c r="P16" s="516" t="s">
        <v>84</v>
      </c>
      <c r="Q16" s="504" t="s">
        <v>85</v>
      </c>
      <c r="R16" s="505" t="s">
        <v>86</v>
      </c>
      <c r="S16" s="506"/>
      <c r="T16" s="539">
        <f>(+M16/100)</f>
        <v>0.22</v>
      </c>
      <c r="U16" s="637">
        <f>V15</f>
        <v>21.3875</v>
      </c>
      <c r="V16" s="542">
        <f t="shared" si="0"/>
        <v>4.7053</v>
      </c>
      <c r="W16" s="514">
        <f>V16*C9/V57</f>
        <v>0.0526</v>
      </c>
    </row>
    <row r="17" spans="1:23" ht="12.75">
      <c r="A17" s="747">
        <v>100</v>
      </c>
      <c r="B17" s="519" t="s">
        <v>51</v>
      </c>
      <c r="C17" s="255">
        <v>120</v>
      </c>
      <c r="D17" s="486" t="s">
        <v>87</v>
      </c>
      <c r="E17" s="521" t="s">
        <v>88</v>
      </c>
      <c r="F17" s="521" t="s">
        <v>89</v>
      </c>
      <c r="G17" s="521" t="s">
        <v>90</v>
      </c>
      <c r="H17" s="638">
        <f>(+A17/C17)/100</f>
        <v>0.0083333</v>
      </c>
      <c r="I17" s="520">
        <f>I19-(M17*U17)</f>
        <v>147500</v>
      </c>
      <c r="J17" s="523">
        <f>(H17*I17)</f>
        <v>1229.16</v>
      </c>
      <c r="K17" s="524">
        <f>J17/V57</f>
        <v>0.0529</v>
      </c>
      <c r="L17" s="432"/>
      <c r="M17" s="538">
        <v>1</v>
      </c>
      <c r="N17" s="486" t="s">
        <v>91</v>
      </c>
      <c r="O17" s="526">
        <v>10000</v>
      </c>
      <c r="P17" s="486" t="s">
        <v>59</v>
      </c>
      <c r="Q17" s="504" t="s">
        <v>92</v>
      </c>
      <c r="R17" s="464" t="s">
        <v>342</v>
      </c>
      <c r="S17" s="460"/>
      <c r="T17" s="539">
        <f aca="true" t="shared" si="1" ref="T17:T22">(+M17/O17)</f>
        <v>0.0001</v>
      </c>
      <c r="U17" s="761">
        <v>2500</v>
      </c>
      <c r="V17" s="542">
        <f t="shared" si="0"/>
        <v>0.25</v>
      </c>
      <c r="W17" s="514">
        <f>V17*C9/V57</f>
        <v>0.0028</v>
      </c>
    </row>
    <row r="18" spans="1:23" ht="12.75">
      <c r="A18" s="525">
        <f>A17</f>
        <v>100</v>
      </c>
      <c r="B18" s="486" t="s">
        <v>51</v>
      </c>
      <c r="C18" s="512">
        <f>C17</f>
        <v>120</v>
      </c>
      <c r="D18" s="486" t="s">
        <v>87</v>
      </c>
      <c r="E18" s="504" t="s">
        <v>88</v>
      </c>
      <c r="F18" s="504" t="s">
        <v>100</v>
      </c>
      <c r="G18" s="504" t="s">
        <v>95</v>
      </c>
      <c r="H18" s="539">
        <f>(+A18/C18)/100</f>
        <v>0.0083333</v>
      </c>
      <c r="I18" s="512" t="s">
        <v>321</v>
      </c>
      <c r="J18" s="528" t="s">
        <v>321</v>
      </c>
      <c r="K18" s="524">
        <f>J18/V57</f>
        <v>0</v>
      </c>
      <c r="L18" s="432"/>
      <c r="M18" s="538">
        <v>10.5</v>
      </c>
      <c r="N18" s="486" t="s">
        <v>97</v>
      </c>
      <c r="O18" s="512">
        <v>1</v>
      </c>
      <c r="P18" s="486" t="s">
        <v>59</v>
      </c>
      <c r="Q18" s="504" t="s">
        <v>98</v>
      </c>
      <c r="R18" s="464" t="s">
        <v>99</v>
      </c>
      <c r="S18" s="460"/>
      <c r="T18" s="539">
        <f t="shared" si="1"/>
        <v>10.5</v>
      </c>
      <c r="U18" s="761">
        <v>2.95</v>
      </c>
      <c r="V18" s="542">
        <f t="shared" si="0"/>
        <v>30.975</v>
      </c>
      <c r="W18" s="514">
        <f>V18*C9/V57</f>
        <v>0.3463</v>
      </c>
    </row>
    <row r="19" spans="1:23" ht="12.75">
      <c r="A19" s="760">
        <v>18</v>
      </c>
      <c r="B19" s="519" t="s">
        <v>51</v>
      </c>
      <c r="C19" s="520">
        <v>12</v>
      </c>
      <c r="D19" s="486" t="s">
        <v>87</v>
      </c>
      <c r="E19" s="521" t="s">
        <v>88</v>
      </c>
      <c r="F19" s="521" t="s">
        <v>109</v>
      </c>
      <c r="G19" s="521" t="s">
        <v>101</v>
      </c>
      <c r="H19" s="638">
        <f>(+A19/C19)/100</f>
        <v>0.015</v>
      </c>
      <c r="I19" s="255">
        <v>150000</v>
      </c>
      <c r="J19" s="523">
        <f>(H19*I19)</f>
        <v>2250</v>
      </c>
      <c r="K19" s="524">
        <f>J19/V57</f>
        <v>0.0968</v>
      </c>
      <c r="L19" s="432"/>
      <c r="M19" s="538">
        <v>9</v>
      </c>
      <c r="N19" s="486" t="s">
        <v>97</v>
      </c>
      <c r="O19" s="510">
        <v>5000</v>
      </c>
      <c r="P19" s="486" t="s">
        <v>59</v>
      </c>
      <c r="Q19" s="504" t="s">
        <v>102</v>
      </c>
      <c r="R19" s="505" t="s">
        <v>103</v>
      </c>
      <c r="S19" s="506"/>
      <c r="T19" s="539">
        <f t="shared" si="1"/>
        <v>0.0018</v>
      </c>
      <c r="U19" s="761">
        <v>19</v>
      </c>
      <c r="V19" s="542">
        <f t="shared" si="0"/>
        <v>0.0342</v>
      </c>
      <c r="W19" s="514">
        <f>V19*C9/V57</f>
        <v>0.0004</v>
      </c>
    </row>
    <row r="20" spans="1:23" ht="12.75">
      <c r="A20" s="525">
        <f>A19</f>
        <v>18</v>
      </c>
      <c r="B20" s="486" t="s">
        <v>51</v>
      </c>
      <c r="C20" s="512">
        <f>C19</f>
        <v>12</v>
      </c>
      <c r="D20" s="486" t="s">
        <v>87</v>
      </c>
      <c r="E20" s="504" t="s">
        <v>88</v>
      </c>
      <c r="F20" s="504" t="s">
        <v>113</v>
      </c>
      <c r="G20" s="504" t="s">
        <v>105</v>
      </c>
      <c r="H20" s="539">
        <f>(+A20/C20)/100</f>
        <v>0.015</v>
      </c>
      <c r="I20" s="512" t="s">
        <v>321</v>
      </c>
      <c r="J20" s="528" t="s">
        <v>321</v>
      </c>
      <c r="K20" s="524">
        <f>J20/V57</f>
        <v>0</v>
      </c>
      <c r="L20" s="432"/>
      <c r="M20" s="538">
        <v>26</v>
      </c>
      <c r="N20" s="486" t="s">
        <v>97</v>
      </c>
      <c r="O20" s="510">
        <v>5000</v>
      </c>
      <c r="P20" s="486" t="s">
        <v>59</v>
      </c>
      <c r="Q20" s="504" t="s">
        <v>106</v>
      </c>
      <c r="R20" s="505" t="s">
        <v>322</v>
      </c>
      <c r="S20" s="506"/>
      <c r="T20" s="539">
        <f t="shared" si="1"/>
        <v>0.0052</v>
      </c>
      <c r="U20" s="761">
        <v>22</v>
      </c>
      <c r="V20" s="542">
        <f t="shared" si="0"/>
        <v>0.1144</v>
      </c>
      <c r="W20" s="514">
        <f>V20*C9/V57</f>
        <v>0.0013</v>
      </c>
    </row>
    <row r="21" spans="1:23" ht="12.75">
      <c r="A21" s="525">
        <v>0</v>
      </c>
      <c r="B21" s="486" t="s">
        <v>323</v>
      </c>
      <c r="C21" s="512">
        <v>12</v>
      </c>
      <c r="D21" s="486" t="s">
        <v>87</v>
      </c>
      <c r="E21" s="504" t="s">
        <v>88</v>
      </c>
      <c r="F21" s="504" t="s">
        <v>116</v>
      </c>
      <c r="G21" s="504" t="s">
        <v>117</v>
      </c>
      <c r="H21" s="539">
        <f>1/12</f>
        <v>0.0833333</v>
      </c>
      <c r="I21" s="512">
        <f>(+I17*A21)/100</f>
        <v>0</v>
      </c>
      <c r="J21" s="528">
        <f>(I21*H21)</f>
        <v>0</v>
      </c>
      <c r="K21" s="524">
        <f>J21/V57</f>
        <v>0</v>
      </c>
      <c r="L21" s="432"/>
      <c r="M21" s="538">
        <v>18</v>
      </c>
      <c r="N21" s="486" t="s">
        <v>91</v>
      </c>
      <c r="O21" s="510">
        <v>1000</v>
      </c>
      <c r="P21" s="486" t="s">
        <v>59</v>
      </c>
      <c r="Q21" s="504" t="s">
        <v>111</v>
      </c>
      <c r="R21" s="505" t="s">
        <v>324</v>
      </c>
      <c r="S21" s="506"/>
      <c r="T21" s="539">
        <f t="shared" si="1"/>
        <v>0.018</v>
      </c>
      <c r="U21" s="761">
        <v>18</v>
      </c>
      <c r="V21" s="542">
        <f t="shared" si="0"/>
        <v>0.324</v>
      </c>
      <c r="W21" s="514">
        <f>V21*C9/V57</f>
        <v>0.0036</v>
      </c>
    </row>
    <row r="22" spans="1:23" ht="12.75">
      <c r="A22" s="525"/>
      <c r="B22" s="486"/>
      <c r="C22" s="512"/>
      <c r="D22" s="486"/>
      <c r="E22" s="504"/>
      <c r="F22" s="504"/>
      <c r="G22" s="504"/>
      <c r="H22" s="539"/>
      <c r="I22" s="512"/>
      <c r="J22" s="528"/>
      <c r="K22" s="524"/>
      <c r="L22" s="432"/>
      <c r="M22" s="538">
        <v>1</v>
      </c>
      <c r="N22" s="486" t="s">
        <v>91</v>
      </c>
      <c r="O22" s="510">
        <v>500</v>
      </c>
      <c r="P22" s="486" t="s">
        <v>59</v>
      </c>
      <c r="Q22" s="504" t="s">
        <v>111</v>
      </c>
      <c r="R22" s="505" t="s">
        <v>112</v>
      </c>
      <c r="S22" s="506"/>
      <c r="T22" s="539">
        <f t="shared" si="1"/>
        <v>0.002</v>
      </c>
      <c r="U22" s="762">
        <v>100</v>
      </c>
      <c r="V22" s="542">
        <f>(+U22*T22)</f>
        <v>0.2</v>
      </c>
      <c r="W22" s="514">
        <f>V22*C9/V57</f>
        <v>0.0022</v>
      </c>
    </row>
    <row r="23" spans="1:23" ht="12.75">
      <c r="A23" s="747">
        <v>0</v>
      </c>
      <c r="B23" s="519" t="s">
        <v>326</v>
      </c>
      <c r="C23" s="526">
        <f>C9</f>
        <v>260</v>
      </c>
      <c r="D23" s="519" t="s">
        <v>327</v>
      </c>
      <c r="E23" s="641">
        <f>(+C23*H23)</f>
        <v>0</v>
      </c>
      <c r="F23" s="521" t="s">
        <v>120</v>
      </c>
      <c r="G23" s="557" t="s">
        <v>328</v>
      </c>
      <c r="H23" s="638">
        <f>(+A23/100)</f>
        <v>0</v>
      </c>
      <c r="I23" s="558">
        <f>V23</f>
        <v>57.9904</v>
      </c>
      <c r="J23" s="523">
        <f>(+E23*I23)</f>
        <v>0</v>
      </c>
      <c r="K23" s="524">
        <f>J23/V57</f>
        <v>0</v>
      </c>
      <c r="L23" s="432"/>
      <c r="M23" s="492"/>
      <c r="N23" s="493"/>
      <c r="O23" s="495"/>
      <c r="P23" s="493"/>
      <c r="Q23" s="531" t="s">
        <v>118</v>
      </c>
      <c r="R23" s="532" t="s">
        <v>325</v>
      </c>
      <c r="S23" s="533"/>
      <c r="T23" s="534"/>
      <c r="U23" s="535"/>
      <c r="V23" s="643">
        <f>SUM(V15:V22)</f>
        <v>57.9904</v>
      </c>
      <c r="W23" s="537">
        <f>V23*C9/V57</f>
        <v>0.6483</v>
      </c>
    </row>
    <row r="24" spans="1:23" ht="12.75">
      <c r="A24" s="525"/>
      <c r="B24" s="499"/>
      <c r="C24" s="512"/>
      <c r="D24" s="499"/>
      <c r="E24" s="499"/>
      <c r="F24" s="499"/>
      <c r="G24" s="499"/>
      <c r="H24" s="539"/>
      <c r="I24" s="499"/>
      <c r="J24" s="507"/>
      <c r="K24" s="465"/>
      <c r="L24" s="432"/>
      <c r="M24" s="503"/>
      <c r="N24" s="499"/>
      <c r="O24" s="499"/>
      <c r="P24" s="499"/>
      <c r="Q24" s="541"/>
      <c r="R24" s="506"/>
      <c r="S24" s="506"/>
      <c r="T24" s="499"/>
      <c r="U24" s="508"/>
      <c r="V24" s="542"/>
      <c r="W24" s="451"/>
    </row>
    <row r="25" spans="1:23" ht="12.75">
      <c r="A25" s="747"/>
      <c r="B25" s="519"/>
      <c r="C25" s="526"/>
      <c r="D25" s="519"/>
      <c r="E25" s="641"/>
      <c r="F25" s="521"/>
      <c r="G25" s="557"/>
      <c r="H25" s="638"/>
      <c r="I25" s="642"/>
      <c r="J25" s="640"/>
      <c r="K25" s="524"/>
      <c r="L25" s="432"/>
      <c r="M25" s="544"/>
      <c r="N25" s="545"/>
      <c r="O25" s="545"/>
      <c r="P25" s="545"/>
      <c r="Q25" s="545"/>
      <c r="R25" s="546"/>
      <c r="S25" s="546"/>
      <c r="T25" s="545"/>
      <c r="U25" s="545"/>
      <c r="V25" s="547"/>
      <c r="W25" s="451"/>
    </row>
    <row r="26" spans="1:23" ht="12.75">
      <c r="A26" s="525"/>
      <c r="B26" s="499"/>
      <c r="C26" s="512"/>
      <c r="D26" s="499"/>
      <c r="E26" s="499"/>
      <c r="F26" s="521" t="s">
        <v>125</v>
      </c>
      <c r="G26" s="499" t="s">
        <v>445</v>
      </c>
      <c r="H26" s="539"/>
      <c r="I26" s="508"/>
      <c r="J26" s="528">
        <f>SUM(J17:J25)</f>
        <v>3479.16</v>
      </c>
      <c r="K26" s="543"/>
      <c r="L26" s="432"/>
      <c r="M26" s="492"/>
      <c r="N26" s="493"/>
      <c r="O26" s="493"/>
      <c r="P26" s="493"/>
      <c r="Q26" s="493"/>
      <c r="R26" s="474"/>
      <c r="S26" s="474"/>
      <c r="T26" s="493"/>
      <c r="U26" s="551"/>
      <c r="V26" s="552"/>
      <c r="W26" s="451"/>
    </row>
    <row r="27" spans="1:23" ht="12.75">
      <c r="A27" s="525"/>
      <c r="B27" s="499"/>
      <c r="C27" s="512"/>
      <c r="D27" s="499"/>
      <c r="E27" s="639"/>
      <c r="F27" s="521"/>
      <c r="G27" s="521"/>
      <c r="H27" s="638"/>
      <c r="I27" s="644"/>
      <c r="J27" s="523"/>
      <c r="K27" s="524"/>
      <c r="L27" s="432"/>
      <c r="M27" s="555"/>
      <c r="N27" s="461"/>
      <c r="O27" s="461"/>
      <c r="P27" s="461"/>
      <c r="Q27" s="461"/>
      <c r="R27" s="461"/>
      <c r="S27" s="461"/>
      <c r="T27" s="461"/>
      <c r="U27" s="475"/>
      <c r="V27" s="475"/>
      <c r="W27" s="451"/>
    </row>
    <row r="28" spans="1:23" ht="12.75">
      <c r="A28" s="760">
        <v>2.5</v>
      </c>
      <c r="B28" s="519" t="s">
        <v>198</v>
      </c>
      <c r="C28" s="512"/>
      <c r="D28" s="486"/>
      <c r="E28" s="639"/>
      <c r="F28" s="521" t="s">
        <v>446</v>
      </c>
      <c r="G28" s="574" t="s">
        <v>448</v>
      </c>
      <c r="H28" s="539">
        <f>A28/100</f>
        <v>0.025</v>
      </c>
      <c r="I28" s="594">
        <f>J26</f>
        <v>3479.16</v>
      </c>
      <c r="J28" s="523">
        <f>H28*I28</f>
        <v>86.98</v>
      </c>
      <c r="K28" s="524">
        <f>J28/V57</f>
        <v>0.0037</v>
      </c>
      <c r="L28" s="524" t="e">
        <f>K28/W40</f>
        <v>#DIV/0!</v>
      </c>
      <c r="M28" s="555"/>
      <c r="N28" s="461"/>
      <c r="O28" s="461"/>
      <c r="P28" s="461"/>
      <c r="Q28" s="461"/>
      <c r="R28" s="461"/>
      <c r="S28" s="461"/>
      <c r="T28" s="461"/>
      <c r="U28" s="475"/>
      <c r="V28" s="475"/>
      <c r="W28" s="451"/>
    </row>
    <row r="29" spans="1:23" ht="12.75">
      <c r="A29" s="525"/>
      <c r="B29" s="486"/>
      <c r="C29" s="512"/>
      <c r="D29" s="486"/>
      <c r="E29" s="639"/>
      <c r="F29" s="504"/>
      <c r="G29" s="521"/>
      <c r="H29" s="638"/>
      <c r="I29" s="639"/>
      <c r="J29" s="640"/>
      <c r="K29" s="524"/>
      <c r="L29" s="432"/>
      <c r="M29" s="449"/>
      <c r="N29" s="450"/>
      <c r="O29" s="450"/>
      <c r="P29" s="450"/>
      <c r="Q29" s="450"/>
      <c r="R29" s="450"/>
      <c r="S29" s="450"/>
      <c r="T29" s="450"/>
      <c r="U29" s="450"/>
      <c r="V29" s="450"/>
      <c r="W29" s="451"/>
    </row>
    <row r="30" spans="1:23" ht="12.75">
      <c r="A30" s="525"/>
      <c r="B30" s="486"/>
      <c r="C30" s="512"/>
      <c r="D30" s="504"/>
      <c r="E30" s="504"/>
      <c r="F30" s="504"/>
      <c r="G30" s="504"/>
      <c r="H30" s="539"/>
      <c r="I30" s="508"/>
      <c r="J30" s="550"/>
      <c r="K30" s="524"/>
      <c r="L30" s="432"/>
      <c r="M30" s="559"/>
      <c r="N30" s="560"/>
      <c r="O30" s="560"/>
      <c r="P30" s="560"/>
      <c r="Q30" s="561"/>
      <c r="R30" s="560"/>
      <c r="S30" s="560"/>
      <c r="T30" s="560"/>
      <c r="U30" s="562"/>
      <c r="V30" s="560"/>
      <c r="W30" s="441"/>
    </row>
    <row r="31" spans="1:23" ht="16.5" customHeight="1">
      <c r="A31" s="525"/>
      <c r="B31" s="486"/>
      <c r="C31" s="512"/>
      <c r="D31" s="486"/>
      <c r="E31" s="508"/>
      <c r="F31" s="504"/>
      <c r="G31" s="504"/>
      <c r="H31" s="539"/>
      <c r="I31" s="508"/>
      <c r="J31" s="550"/>
      <c r="K31" s="524"/>
      <c r="L31" s="432"/>
      <c r="M31" s="442" t="s">
        <v>329</v>
      </c>
      <c r="N31" s="443"/>
      <c r="O31" s="443"/>
      <c r="P31" s="443"/>
      <c r="Q31" s="443"/>
      <c r="R31" s="443"/>
      <c r="S31" s="443"/>
      <c r="T31" s="443"/>
      <c r="U31" s="443"/>
      <c r="V31" s="563"/>
      <c r="W31" s="441"/>
    </row>
    <row r="32" spans="1:23" ht="12.75">
      <c r="A32" s="525"/>
      <c r="B32" s="486"/>
      <c r="C32" s="512"/>
      <c r="D32" s="486"/>
      <c r="E32" s="508"/>
      <c r="F32" s="504"/>
      <c r="G32" s="504"/>
      <c r="H32" s="539"/>
      <c r="I32" s="508"/>
      <c r="J32" s="550"/>
      <c r="K32" s="524"/>
      <c r="L32" s="432"/>
      <c r="M32" s="564"/>
      <c r="N32" s="565"/>
      <c r="O32" s="565"/>
      <c r="P32" s="565"/>
      <c r="Q32" s="565"/>
      <c r="R32" s="565"/>
      <c r="S32" s="565"/>
      <c r="T32" s="565"/>
      <c r="U32" s="565"/>
      <c r="V32" s="565"/>
      <c r="W32" s="441"/>
    </row>
    <row r="33" spans="1:23" ht="12.75">
      <c r="A33" s="525"/>
      <c r="B33" s="486"/>
      <c r="C33" s="512"/>
      <c r="D33" s="486"/>
      <c r="E33" s="508"/>
      <c r="F33" s="504"/>
      <c r="G33" s="504"/>
      <c r="H33" s="539"/>
      <c r="I33" s="508"/>
      <c r="J33" s="550"/>
      <c r="K33" s="524"/>
      <c r="L33" s="432"/>
      <c r="M33" s="566"/>
      <c r="N33" s="454"/>
      <c r="O33" s="480"/>
      <c r="P33" s="480"/>
      <c r="Q33" s="480"/>
      <c r="R33" s="483"/>
      <c r="S33" s="481"/>
      <c r="T33" s="480"/>
      <c r="U33" s="482" t="s">
        <v>64</v>
      </c>
      <c r="V33" s="567"/>
      <c r="W33" s="441"/>
    </row>
    <row r="34" spans="1:23" ht="12.75">
      <c r="A34" s="525"/>
      <c r="B34" s="486"/>
      <c r="C34" s="512"/>
      <c r="D34" s="486"/>
      <c r="E34" s="508"/>
      <c r="F34" s="504"/>
      <c r="G34" s="504"/>
      <c r="H34" s="539"/>
      <c r="I34" s="508"/>
      <c r="J34" s="550"/>
      <c r="K34" s="524"/>
      <c r="L34" s="432"/>
      <c r="M34" s="555"/>
      <c r="N34" s="461"/>
      <c r="O34" s="486" t="s">
        <v>75</v>
      </c>
      <c r="P34" s="486" t="s">
        <v>67</v>
      </c>
      <c r="Q34" s="486" t="s">
        <v>69</v>
      </c>
      <c r="R34" s="801" t="s">
        <v>128</v>
      </c>
      <c r="S34" s="802"/>
      <c r="T34" s="486" t="s">
        <v>71</v>
      </c>
      <c r="U34" s="486" t="s">
        <v>72</v>
      </c>
      <c r="V34" s="528" t="s">
        <v>129</v>
      </c>
      <c r="W34" s="645"/>
    </row>
    <row r="35" spans="1:23" ht="12.75">
      <c r="A35" s="747"/>
      <c r="B35" s="519"/>
      <c r="C35" s="526"/>
      <c r="D35" s="519"/>
      <c r="E35" s="641"/>
      <c r="F35" s="521"/>
      <c r="G35" s="557"/>
      <c r="H35" s="638"/>
      <c r="I35" s="642"/>
      <c r="J35" s="640"/>
      <c r="K35" s="524"/>
      <c r="L35" s="432"/>
      <c r="M35" s="564"/>
      <c r="N35" s="565"/>
      <c r="O35" s="501"/>
      <c r="P35" s="501"/>
      <c r="Q35" s="501"/>
      <c r="R35" s="502"/>
      <c r="S35" s="646"/>
      <c r="T35" s="501"/>
      <c r="U35" s="495" t="s">
        <v>74</v>
      </c>
      <c r="V35" s="502"/>
      <c r="W35" s="451"/>
    </row>
    <row r="36" spans="1:23" ht="12.75">
      <c r="A36" s="748"/>
      <c r="B36" s="499"/>
      <c r="C36" s="529"/>
      <c r="D36" s="499"/>
      <c r="E36" s="499"/>
      <c r="F36" s="499"/>
      <c r="G36" s="499"/>
      <c r="H36" s="499"/>
      <c r="I36" s="499"/>
      <c r="J36" s="507"/>
      <c r="K36" s="524"/>
      <c r="L36" s="432"/>
      <c r="M36" s="555"/>
      <c r="N36" s="461"/>
      <c r="O36" s="499"/>
      <c r="P36" s="480"/>
      <c r="Q36" s="505" t="s">
        <v>130</v>
      </c>
      <c r="R36" s="532" t="s">
        <v>330</v>
      </c>
      <c r="S36" s="533"/>
      <c r="T36" s="534"/>
      <c r="U36" s="535"/>
      <c r="V36" s="570" t="s">
        <v>73</v>
      </c>
      <c r="W36" s="571"/>
    </row>
    <row r="37" spans="1:23" ht="12.75">
      <c r="A37" s="530"/>
      <c r="B37" s="493"/>
      <c r="C37" s="495"/>
      <c r="D37" s="493"/>
      <c r="E37" s="493"/>
      <c r="F37" s="531" t="s">
        <v>132</v>
      </c>
      <c r="G37" s="532" t="s">
        <v>447</v>
      </c>
      <c r="H37" s="572"/>
      <c r="I37" s="572"/>
      <c r="J37" s="647">
        <f>SUM(J26:J36)</f>
        <v>3566.14</v>
      </c>
      <c r="K37" s="549">
        <f>J37/V57</f>
        <v>0.1533</v>
      </c>
      <c r="L37" s="432"/>
      <c r="M37" s="555"/>
      <c r="N37" s="461"/>
      <c r="O37" s="499"/>
      <c r="P37" s="499"/>
      <c r="Q37" s="505" t="s">
        <v>133</v>
      </c>
      <c r="R37" s="574" t="s">
        <v>331</v>
      </c>
      <c r="S37" s="575"/>
      <c r="T37" s="499"/>
      <c r="U37" s="517">
        <f>V23</f>
        <v>57.9904</v>
      </c>
      <c r="V37" s="513">
        <f>$V$23</f>
        <v>57.9904</v>
      </c>
      <c r="W37" s="451"/>
    </row>
    <row r="38" spans="1:23" ht="12.75">
      <c r="A38" s="555"/>
      <c r="B38" s="461"/>
      <c r="C38" s="461"/>
      <c r="D38" s="461"/>
      <c r="E38" s="461"/>
      <c r="F38" s="505"/>
      <c r="G38" s="505"/>
      <c r="H38" s="505"/>
      <c r="I38" s="505"/>
      <c r="J38" s="475"/>
      <c r="K38" s="576"/>
      <c r="L38" s="432"/>
      <c r="M38" s="555"/>
      <c r="N38" s="461"/>
      <c r="O38" s="512">
        <f>C45</f>
        <v>5.5</v>
      </c>
      <c r="P38" s="486" t="s">
        <v>51</v>
      </c>
      <c r="Q38" s="505" t="s">
        <v>135</v>
      </c>
      <c r="R38" s="574" t="s">
        <v>138</v>
      </c>
      <c r="S38" s="575"/>
      <c r="T38" s="539">
        <f>(+O38/100)</f>
        <v>0.055</v>
      </c>
      <c r="U38" s="529"/>
      <c r="V38" s="513">
        <f>(+V37*T38)</f>
        <v>3.1895</v>
      </c>
      <c r="W38" s="514">
        <f>V38*C9/V57</f>
        <v>0.0357</v>
      </c>
    </row>
    <row r="39" spans="1:23" ht="20.25">
      <c r="A39" s="577" t="s">
        <v>136</v>
      </c>
      <c r="B39" s="578"/>
      <c r="C39" s="578"/>
      <c r="D39" s="578"/>
      <c r="E39" s="578"/>
      <c r="F39" s="578"/>
      <c r="G39" s="578"/>
      <c r="H39" s="578"/>
      <c r="I39" s="578"/>
      <c r="J39" s="578"/>
      <c r="K39" s="543"/>
      <c r="L39" s="432"/>
      <c r="M39" s="555"/>
      <c r="N39" s="461"/>
      <c r="O39" s="512" t="s">
        <v>139</v>
      </c>
      <c r="P39" s="499"/>
      <c r="Q39" s="505" t="s">
        <v>137</v>
      </c>
      <c r="R39" s="574" t="s">
        <v>418</v>
      </c>
      <c r="S39" s="575"/>
      <c r="T39" s="499"/>
      <c r="U39" s="529"/>
      <c r="V39" s="513">
        <f>SUM(V37:V38)</f>
        <v>61.1799</v>
      </c>
      <c r="W39" s="514"/>
    </row>
    <row r="40" spans="1:23" ht="20.25">
      <c r="A40" s="555"/>
      <c r="B40" s="461"/>
      <c r="C40" s="461"/>
      <c r="D40" s="461"/>
      <c r="E40" s="461"/>
      <c r="F40" s="461"/>
      <c r="G40" s="506"/>
      <c r="H40" s="461"/>
      <c r="I40" s="461"/>
      <c r="J40" s="461"/>
      <c r="K40" s="445"/>
      <c r="L40" s="432"/>
      <c r="M40" s="555"/>
      <c r="N40" s="461"/>
      <c r="O40" s="512">
        <f>C48</f>
        <v>0</v>
      </c>
      <c r="P40" s="486" t="s">
        <v>51</v>
      </c>
      <c r="Q40" s="505" t="s">
        <v>140</v>
      </c>
      <c r="R40" s="574" t="s">
        <v>142</v>
      </c>
      <c r="S40" s="575"/>
      <c r="T40" s="539">
        <f>(+O40/100)</f>
        <v>0</v>
      </c>
      <c r="U40" s="581">
        <f>V39</f>
        <v>61.1799</v>
      </c>
      <c r="V40" s="513">
        <f>(+V39*T40)</f>
        <v>0</v>
      </c>
      <c r="W40" s="514">
        <f>V40*C9/V57</f>
        <v>0</v>
      </c>
    </row>
    <row r="41" spans="1:23" ht="12.75">
      <c r="A41" s="566"/>
      <c r="B41" s="481"/>
      <c r="C41" s="480"/>
      <c r="D41" s="480"/>
      <c r="E41" s="480"/>
      <c r="F41" s="579"/>
      <c r="G41" s="580"/>
      <c r="H41" s="489"/>
      <c r="I41" s="482" t="s">
        <v>64</v>
      </c>
      <c r="J41" s="483"/>
      <c r="K41" s="465"/>
      <c r="L41" s="432"/>
      <c r="M41" s="555"/>
      <c r="N41" s="461"/>
      <c r="O41" s="512" t="s">
        <v>139</v>
      </c>
      <c r="P41" s="499"/>
      <c r="Q41" s="505" t="s">
        <v>141</v>
      </c>
      <c r="R41" s="574" t="s">
        <v>419</v>
      </c>
      <c r="S41" s="575"/>
      <c r="T41" s="499"/>
      <c r="U41" s="529"/>
      <c r="V41" s="513">
        <f>SUM(V39:V40)</f>
        <v>61.1799</v>
      </c>
      <c r="W41" s="514"/>
    </row>
    <row r="42" spans="1:23" ht="12.75">
      <c r="A42" s="555"/>
      <c r="B42" s="568"/>
      <c r="C42" s="486" t="s">
        <v>75</v>
      </c>
      <c r="D42" s="486" t="s">
        <v>67</v>
      </c>
      <c r="E42" s="486" t="s">
        <v>69</v>
      </c>
      <c r="F42" s="801" t="s">
        <v>70</v>
      </c>
      <c r="G42" s="802"/>
      <c r="H42" s="486" t="s">
        <v>71</v>
      </c>
      <c r="I42" s="486" t="s">
        <v>72</v>
      </c>
      <c r="J42" s="487" t="s">
        <v>73</v>
      </c>
      <c r="K42" s="465"/>
      <c r="L42" s="432"/>
      <c r="M42" s="555"/>
      <c r="N42" s="461"/>
      <c r="O42" s="512">
        <f>C51</f>
        <v>9</v>
      </c>
      <c r="P42" s="486" t="s">
        <v>51</v>
      </c>
      <c r="Q42" s="505" t="s">
        <v>143</v>
      </c>
      <c r="R42" s="574" t="s">
        <v>145</v>
      </c>
      <c r="S42" s="575"/>
      <c r="T42" s="539">
        <f>(+O42/100)</f>
        <v>0.09</v>
      </c>
      <c r="U42" s="581">
        <f>V41</f>
        <v>61.1799</v>
      </c>
      <c r="V42" s="513">
        <f>(+V41*T42)</f>
        <v>5.5062</v>
      </c>
      <c r="W42" s="514">
        <f>V42*C9/V57</f>
        <v>0.0616</v>
      </c>
    </row>
    <row r="43" spans="1:23" ht="12.75">
      <c r="A43" s="555"/>
      <c r="B43" s="568"/>
      <c r="C43" s="493"/>
      <c r="D43" s="493"/>
      <c r="E43" s="493"/>
      <c r="F43" s="496"/>
      <c r="G43" s="474"/>
      <c r="H43" s="501"/>
      <c r="I43" s="495" t="s">
        <v>74</v>
      </c>
      <c r="J43" s="496"/>
      <c r="K43" s="582"/>
      <c r="L43" s="432"/>
      <c r="M43" s="555"/>
      <c r="N43" s="461"/>
      <c r="O43" s="512" t="s">
        <v>139</v>
      </c>
      <c r="P43" s="499"/>
      <c r="Q43" s="505" t="s">
        <v>144</v>
      </c>
      <c r="R43" s="574" t="s">
        <v>420</v>
      </c>
      <c r="S43" s="575"/>
      <c r="T43" s="499"/>
      <c r="U43" s="529"/>
      <c r="V43" s="513">
        <f>SUM(V41:V42)</f>
        <v>66.6861</v>
      </c>
      <c r="W43" s="514"/>
    </row>
    <row r="44" spans="1:23" ht="12.75">
      <c r="A44" s="555"/>
      <c r="B44" s="568"/>
      <c r="C44" s="499"/>
      <c r="D44" s="499"/>
      <c r="E44" s="504" t="s">
        <v>146</v>
      </c>
      <c r="F44" s="583" t="s">
        <v>147</v>
      </c>
      <c r="G44" s="454"/>
      <c r="H44" s="584"/>
      <c r="I44" s="512">
        <f>J37</f>
        <v>3566.14</v>
      </c>
      <c r="J44" s="585">
        <f>J37</f>
        <v>3566.14</v>
      </c>
      <c r="K44" s="465"/>
      <c r="L44" s="432"/>
      <c r="M44" s="555"/>
      <c r="N44" s="461"/>
      <c r="O44" s="548">
        <f>C54</f>
        <v>7.81</v>
      </c>
      <c r="P44" s="486" t="s">
        <v>51</v>
      </c>
      <c r="Q44" s="505" t="s">
        <v>150</v>
      </c>
      <c r="R44" s="574" t="s">
        <v>151</v>
      </c>
      <c r="S44" s="575"/>
      <c r="T44" s="539">
        <f>(+O44/100)</f>
        <v>0.0781</v>
      </c>
      <c r="U44" s="529"/>
      <c r="V44" s="513">
        <f>(+V47*T44)</f>
        <v>5.6494</v>
      </c>
      <c r="W44" s="514">
        <f>V44*C9/V57</f>
        <v>0.0632</v>
      </c>
    </row>
    <row r="45" spans="1:23" ht="12.75">
      <c r="A45" s="555"/>
      <c r="B45" s="568"/>
      <c r="C45" s="237">
        <v>5.5</v>
      </c>
      <c r="D45" s="486" t="s">
        <v>51</v>
      </c>
      <c r="E45" s="504" t="s">
        <v>149</v>
      </c>
      <c r="F45" s="574" t="s">
        <v>138</v>
      </c>
      <c r="G45" s="575"/>
      <c r="H45" s="539">
        <f>(C45/100)</f>
        <v>0.055</v>
      </c>
      <c r="I45" s="529"/>
      <c r="J45" s="528">
        <f>(+J44*H45)</f>
        <v>196.14</v>
      </c>
      <c r="K45" s="524">
        <f>J45/V57</f>
        <v>0.0084</v>
      </c>
      <c r="L45" s="432"/>
      <c r="M45" s="555"/>
      <c r="N45" s="461"/>
      <c r="O45" s="499"/>
      <c r="P45" s="499"/>
      <c r="Q45" s="507"/>
      <c r="R45" s="507"/>
      <c r="S45" s="568"/>
      <c r="T45" s="507"/>
      <c r="U45" s="540"/>
      <c r="V45" s="540"/>
      <c r="W45" s="728"/>
    </row>
    <row r="46" spans="1:23" ht="12.75">
      <c r="A46" s="555"/>
      <c r="B46" s="568"/>
      <c r="C46" s="512" t="s">
        <v>139</v>
      </c>
      <c r="D46" s="499"/>
      <c r="E46" s="499"/>
      <c r="F46" s="507"/>
      <c r="G46" s="461"/>
      <c r="H46" s="539"/>
      <c r="I46" s="512"/>
      <c r="J46" s="528"/>
      <c r="K46" s="586"/>
      <c r="L46" s="432"/>
      <c r="M46" s="555"/>
      <c r="N46" s="461"/>
      <c r="O46" s="512" t="s">
        <v>139</v>
      </c>
      <c r="P46" s="499"/>
      <c r="Q46" s="461"/>
      <c r="R46" s="507"/>
      <c r="S46" s="568"/>
      <c r="T46" s="499"/>
      <c r="U46" s="529"/>
      <c r="V46" s="513"/>
      <c r="W46" s="497"/>
    </row>
    <row r="47" spans="1:25" ht="12.75">
      <c r="A47" s="555"/>
      <c r="B47" s="568"/>
      <c r="C47" s="592"/>
      <c r="D47" s="499"/>
      <c r="E47" s="504" t="s">
        <v>152</v>
      </c>
      <c r="F47" s="574" t="s">
        <v>424</v>
      </c>
      <c r="G47" s="461"/>
      <c r="H47" s="539"/>
      <c r="I47" s="529"/>
      <c r="J47" s="528">
        <f>SUM(J44:J45)</f>
        <v>3762.28</v>
      </c>
      <c r="K47" s="524"/>
      <c r="L47" s="432"/>
      <c r="M47" s="587"/>
      <c r="N47" s="474"/>
      <c r="O47" s="588" t="s">
        <v>139</v>
      </c>
      <c r="P47" s="493"/>
      <c r="Q47" s="589" t="s">
        <v>148</v>
      </c>
      <c r="R47" s="532" t="s">
        <v>421</v>
      </c>
      <c r="S47" s="535"/>
      <c r="T47" s="590"/>
      <c r="U47" s="534"/>
      <c r="V47" s="536">
        <f>V43/(1-T44)</f>
        <v>72.3355</v>
      </c>
      <c r="W47" s="591">
        <f>V47*C9/V57</f>
        <v>0.8087</v>
      </c>
      <c r="Y47" s="178"/>
    </row>
    <row r="48" spans="1:23" ht="12.75">
      <c r="A48" s="555"/>
      <c r="B48" s="568"/>
      <c r="C48" s="512">
        <v>0</v>
      </c>
      <c r="D48" s="486" t="s">
        <v>51</v>
      </c>
      <c r="E48" s="504" t="s">
        <v>154</v>
      </c>
      <c r="F48" s="574" t="s">
        <v>142</v>
      </c>
      <c r="G48" s="575"/>
      <c r="H48" s="539">
        <f>(C48/100)</f>
        <v>0</v>
      </c>
      <c r="I48" s="594">
        <f>J47</f>
        <v>3762.28</v>
      </c>
      <c r="J48" s="528">
        <f>(+J47*H48)</f>
        <v>0</v>
      </c>
      <c r="K48" s="524">
        <f>J48/V57</f>
        <v>0</v>
      </c>
      <c r="L48" s="432"/>
      <c r="M48" s="593"/>
      <c r="N48" s="546"/>
      <c r="O48" s="546"/>
      <c r="P48" s="546"/>
      <c r="Q48" s="546"/>
      <c r="R48" s="546"/>
      <c r="S48" s="546"/>
      <c r="T48" s="546"/>
      <c r="U48" s="546"/>
      <c r="V48" s="546"/>
      <c r="W48" s="451"/>
    </row>
    <row r="49" spans="1:23" ht="12.75">
      <c r="A49" s="555"/>
      <c r="B49" s="568"/>
      <c r="C49" s="512" t="s">
        <v>139</v>
      </c>
      <c r="D49" s="499"/>
      <c r="E49" s="499"/>
      <c r="F49" s="507"/>
      <c r="G49" s="461"/>
      <c r="H49" s="539"/>
      <c r="I49" s="512"/>
      <c r="J49" s="528"/>
      <c r="K49" s="586"/>
      <c r="L49" s="432"/>
      <c r="M49" s="555"/>
      <c r="N49" s="461"/>
      <c r="O49" s="461"/>
      <c r="P49" s="461"/>
      <c r="Q49" s="461"/>
      <c r="R49" s="461"/>
      <c r="S49" s="461"/>
      <c r="T49" s="461"/>
      <c r="U49" s="461"/>
      <c r="V49" s="461"/>
      <c r="W49" s="451"/>
    </row>
    <row r="50" spans="1:23" ht="13.5" thickBot="1">
      <c r="A50" s="555"/>
      <c r="B50" s="568"/>
      <c r="C50" s="512" t="s">
        <v>139</v>
      </c>
      <c r="D50" s="499"/>
      <c r="E50" s="504" t="s">
        <v>155</v>
      </c>
      <c r="F50" s="574" t="s">
        <v>425</v>
      </c>
      <c r="G50" s="461"/>
      <c r="H50" s="539"/>
      <c r="I50" s="529"/>
      <c r="J50" s="528">
        <f>SUM(J47:J48)</f>
        <v>3762.28</v>
      </c>
      <c r="K50" s="586"/>
      <c r="L50" s="432"/>
      <c r="M50" s="555"/>
      <c r="N50" s="461"/>
      <c r="O50" s="461"/>
      <c r="P50" s="461"/>
      <c r="Q50" s="461"/>
      <c r="R50" s="461"/>
      <c r="S50" s="461"/>
      <c r="T50" s="461"/>
      <c r="U50" s="461"/>
      <c r="V50" s="461"/>
      <c r="W50" s="451"/>
    </row>
    <row r="51" spans="1:23" ht="20.25">
      <c r="A51" s="555"/>
      <c r="B51" s="568"/>
      <c r="C51" s="237">
        <v>9</v>
      </c>
      <c r="D51" s="486" t="s">
        <v>51</v>
      </c>
      <c r="E51" s="504" t="s">
        <v>156</v>
      </c>
      <c r="F51" s="574" t="s">
        <v>427</v>
      </c>
      <c r="G51" s="575"/>
      <c r="H51" s="539">
        <f>(C51/100)</f>
        <v>0.09</v>
      </c>
      <c r="I51" s="594">
        <f>J50</f>
        <v>3762.28</v>
      </c>
      <c r="J51" s="528">
        <f>(+J50*H51)</f>
        <v>338.61</v>
      </c>
      <c r="K51" s="524">
        <f>J51/V57</f>
        <v>0.0146</v>
      </c>
      <c r="L51" s="432"/>
      <c r="M51" s="555"/>
      <c r="N51" s="461"/>
      <c r="O51" s="461"/>
      <c r="P51" s="461"/>
      <c r="Q51" s="595" t="s">
        <v>157</v>
      </c>
      <c r="R51" s="596"/>
      <c r="S51" s="596"/>
      <c r="T51" s="596"/>
      <c r="U51" s="596"/>
      <c r="V51" s="596"/>
      <c r="W51" s="451"/>
    </row>
    <row r="52" spans="1:23" ht="13.5" thickBot="1">
      <c r="A52" s="555"/>
      <c r="B52" s="568"/>
      <c r="C52" s="512" t="s">
        <v>139</v>
      </c>
      <c r="D52" s="499"/>
      <c r="E52" s="499"/>
      <c r="F52" s="507"/>
      <c r="G52" s="461"/>
      <c r="H52" s="539"/>
      <c r="I52" s="529"/>
      <c r="J52" s="528"/>
      <c r="K52" s="586"/>
      <c r="L52" s="432"/>
      <c r="M52" s="555"/>
      <c r="N52" s="461"/>
      <c r="O52" s="461"/>
      <c r="P52" s="461"/>
      <c r="Q52" s="597"/>
      <c r="R52" s="598"/>
      <c r="S52" s="598"/>
      <c r="T52" s="598"/>
      <c r="U52" s="598"/>
      <c r="V52" s="598"/>
      <c r="W52" s="451"/>
    </row>
    <row r="53" spans="1:23" ht="13.5" thickBot="1">
      <c r="A53" s="555"/>
      <c r="B53" s="568"/>
      <c r="C53" s="512" t="s">
        <v>139</v>
      </c>
      <c r="D53" s="499"/>
      <c r="E53" s="504" t="s">
        <v>158</v>
      </c>
      <c r="F53" s="574" t="s">
        <v>162</v>
      </c>
      <c r="G53" s="461"/>
      <c r="H53" s="539"/>
      <c r="I53" s="529"/>
      <c r="J53" s="528">
        <f>SUM(J50:J51)</f>
        <v>4100.89</v>
      </c>
      <c r="K53" s="586"/>
      <c r="L53" s="432"/>
      <c r="M53" s="555"/>
      <c r="N53" s="461"/>
      <c r="O53" s="461"/>
      <c r="P53" s="461"/>
      <c r="Q53" s="726" t="s">
        <v>422</v>
      </c>
      <c r="R53" s="599" t="s">
        <v>432</v>
      </c>
      <c r="S53" s="600"/>
      <c r="T53" s="600"/>
      <c r="U53" s="600"/>
      <c r="V53" s="601">
        <f>C9*V47</f>
        <v>18807.23</v>
      </c>
      <c r="W53" s="602">
        <f>V53/V57</f>
        <v>0.8087</v>
      </c>
    </row>
    <row r="54" spans="1:23" ht="13.5" thickBot="1">
      <c r="A54" s="555"/>
      <c r="B54" s="568"/>
      <c r="C54" s="237">
        <f>(15%*C51)+(9%*C51)+3.65+2</f>
        <v>7.81</v>
      </c>
      <c r="D54" s="486" t="s">
        <v>51</v>
      </c>
      <c r="E54" s="504" t="s">
        <v>165</v>
      </c>
      <c r="F54" s="574" t="s">
        <v>151</v>
      </c>
      <c r="G54" s="575"/>
      <c r="H54" s="539">
        <f>(C54/100)</f>
        <v>0.0781</v>
      </c>
      <c r="I54" s="529"/>
      <c r="J54" s="528">
        <f>(+J57*H54)</f>
        <v>347.41</v>
      </c>
      <c r="K54" s="524">
        <f>J54/V57</f>
        <v>0.0149</v>
      </c>
      <c r="L54" s="432"/>
      <c r="M54" s="555"/>
      <c r="N54" s="461"/>
      <c r="O54" s="461"/>
      <c r="P54" s="461"/>
      <c r="Q54" s="727" t="s">
        <v>159</v>
      </c>
      <c r="R54" s="505" t="s">
        <v>164</v>
      </c>
      <c r="S54" s="461"/>
      <c r="T54" s="461"/>
      <c r="U54" s="505"/>
      <c r="V54" s="475">
        <f>J57</f>
        <v>4448.3</v>
      </c>
      <c r="W54" s="602">
        <f>V54/V57</f>
        <v>0.1913</v>
      </c>
    </row>
    <row r="55" spans="1:23" ht="12.75">
      <c r="A55" s="555"/>
      <c r="B55" s="568"/>
      <c r="C55" s="499"/>
      <c r="D55" s="499"/>
      <c r="E55" s="507"/>
      <c r="F55" s="507"/>
      <c r="G55" s="568"/>
      <c r="H55" s="499"/>
      <c r="I55" s="529"/>
      <c r="J55" s="529"/>
      <c r="K55" s="728"/>
      <c r="L55" s="432"/>
      <c r="M55" s="555"/>
      <c r="N55" s="461"/>
      <c r="O55" s="461"/>
      <c r="P55" s="461"/>
      <c r="Q55" s="649"/>
      <c r="R55" s="604"/>
      <c r="S55" s="458"/>
      <c r="T55" s="458"/>
      <c r="U55" s="464"/>
      <c r="V55" s="606"/>
      <c r="W55" s="451"/>
    </row>
    <row r="56" spans="1:23" ht="13.5" thickBot="1">
      <c r="A56" s="555"/>
      <c r="B56" s="568"/>
      <c r="C56" s="512" t="s">
        <v>139</v>
      </c>
      <c r="D56" s="499"/>
      <c r="E56" s="499"/>
      <c r="F56" s="507"/>
      <c r="G56" s="461"/>
      <c r="H56" s="499"/>
      <c r="I56" s="529"/>
      <c r="J56" s="528"/>
      <c r="K56" s="586"/>
      <c r="L56" s="432"/>
      <c r="M56" s="555"/>
      <c r="N56" s="461"/>
      <c r="O56" s="461"/>
      <c r="P56" s="461"/>
      <c r="Q56" s="555"/>
      <c r="R56" s="461"/>
      <c r="S56" s="461"/>
      <c r="T56" s="461"/>
      <c r="U56" s="461"/>
      <c r="V56" s="506"/>
      <c r="W56" s="608"/>
    </row>
    <row r="57" spans="1:23" ht="13.5" thickBot="1">
      <c r="A57" s="609"/>
      <c r="B57" s="610"/>
      <c r="C57" s="611" t="s">
        <v>139</v>
      </c>
      <c r="D57" s="612"/>
      <c r="E57" s="613" t="s">
        <v>161</v>
      </c>
      <c r="F57" s="614" t="s">
        <v>426</v>
      </c>
      <c r="G57" s="615"/>
      <c r="H57" s="615"/>
      <c r="I57" s="615"/>
      <c r="J57" s="616">
        <f>J53/(1-H54)</f>
        <v>4448.3</v>
      </c>
      <c r="K57" s="617">
        <f>J57/V57</f>
        <v>0.1913</v>
      </c>
      <c r="L57" s="432"/>
      <c r="M57" s="609"/>
      <c r="N57" s="618"/>
      <c r="O57" s="618"/>
      <c r="P57" s="618"/>
      <c r="Q57" s="619" t="s">
        <v>163</v>
      </c>
      <c r="R57" s="620" t="s">
        <v>423</v>
      </c>
      <c r="S57" s="621"/>
      <c r="T57" s="621"/>
      <c r="U57" s="620"/>
      <c r="V57" s="622">
        <f>V53+J57</f>
        <v>23255.53</v>
      </c>
      <c r="W57" s="623">
        <f>SUM(W53:W56)</f>
        <v>1</v>
      </c>
    </row>
    <row r="59" ht="15.75">
      <c r="A59" s="69" t="s">
        <v>169</v>
      </c>
    </row>
    <row r="61" spans="1:7" ht="15.75">
      <c r="A61" s="69" t="s">
        <v>404</v>
      </c>
      <c r="G61" s="13"/>
    </row>
    <row r="64" ht="12">
      <c r="A64" s="13"/>
    </row>
    <row r="65" spans="1:19" ht="15">
      <c r="A65" s="11"/>
      <c r="M65" s="11"/>
      <c r="S65" s="13"/>
    </row>
    <row r="66" spans="7:19" ht="15">
      <c r="G66" s="11"/>
      <c r="H66" s="11"/>
      <c r="I66" s="11"/>
      <c r="S66" s="11"/>
    </row>
    <row r="67" spans="7:19" ht="15">
      <c r="G67" s="11"/>
      <c r="H67" s="11"/>
      <c r="I67" s="11"/>
      <c r="S67" s="11"/>
    </row>
    <row r="73" spans="1:10" ht="12">
      <c r="A73" s="275"/>
      <c r="B73" s="275"/>
      <c r="C73" s="275"/>
      <c r="D73" s="275"/>
      <c r="E73" s="275"/>
      <c r="F73" s="275"/>
      <c r="G73" s="275"/>
      <c r="H73" s="275"/>
      <c r="I73" s="275"/>
      <c r="J73" s="275"/>
    </row>
    <row r="97" ht="2.25" customHeight="1"/>
    <row r="98" ht="12.75" customHeight="1"/>
    <row r="99" ht="0.75" customHeight="1"/>
    <row r="124" spans="12:15" ht="12.75">
      <c r="L124" s="276"/>
      <c r="M124" s="277"/>
      <c r="N124" s="276"/>
      <c r="O124" s="277"/>
    </row>
    <row r="125" spans="12:15" ht="12.75">
      <c r="L125" s="276"/>
      <c r="M125" s="276"/>
      <c r="N125" s="276"/>
      <c r="O125" s="278"/>
    </row>
    <row r="126" spans="12:15" ht="12.75">
      <c r="L126" s="276"/>
      <c r="M126" s="276"/>
      <c r="N126" s="276"/>
      <c r="O126" s="278"/>
    </row>
    <row r="127" spans="12:15" ht="12.75">
      <c r="L127" s="276"/>
      <c r="M127" s="276"/>
      <c r="N127" s="276"/>
      <c r="O127" s="278"/>
    </row>
    <row r="128" spans="12:15" ht="12.75">
      <c r="L128" s="2"/>
      <c r="M128" s="2"/>
      <c r="N128" s="2"/>
      <c r="O128" s="279"/>
    </row>
    <row r="129" spans="1:11" ht="12.75">
      <c r="A129" s="276"/>
      <c r="B129" s="276"/>
      <c r="C129" s="276"/>
      <c r="D129" s="276"/>
      <c r="E129" s="280"/>
      <c r="F129" s="280"/>
      <c r="G129" s="280"/>
      <c r="H129" s="280"/>
      <c r="I129" s="280"/>
      <c r="J129" s="280"/>
      <c r="K129" s="280"/>
    </row>
    <row r="130" spans="1:12" ht="12.75">
      <c r="A130" s="276"/>
      <c r="B130" s="276"/>
      <c r="C130" s="276"/>
      <c r="D130" s="276"/>
      <c r="E130" s="276"/>
      <c r="F130" s="276"/>
      <c r="G130" s="276"/>
      <c r="H130" s="276"/>
      <c r="I130" s="276"/>
      <c r="J130" s="281"/>
      <c r="K130" s="281"/>
      <c r="L130" s="178"/>
    </row>
    <row r="131" spans="1:11" ht="12.7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</row>
    <row r="132" spans="1:11" ht="12.7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</row>
    <row r="133" spans="1:11" ht="12.7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</row>
    <row r="134" spans="1:11" ht="12.75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</row>
    <row r="135" spans="1:12" ht="12.75">
      <c r="A135" s="2"/>
      <c r="B135" s="2"/>
      <c r="C135" s="2"/>
      <c r="D135" s="2"/>
      <c r="E135" s="28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83"/>
      <c r="F136" s="283"/>
      <c r="G136" s="283"/>
      <c r="H136" s="283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83"/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5"/>
      <c r="C141" s="2"/>
      <c r="D141" s="279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1:12" ht="12.75">
      <c r="A144" s="2"/>
      <c r="B144" s="5"/>
      <c r="C144" s="2"/>
      <c r="D144" s="279"/>
      <c r="E144" s="2"/>
      <c r="F144" s="2"/>
      <c r="G144" s="2"/>
      <c r="H144" s="2"/>
      <c r="I144" s="2"/>
      <c r="J144" s="2"/>
      <c r="K144" s="2"/>
      <c r="L144" s="4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"/>
    </row>
    <row r="146" spans="1:12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">
      <c r="A147" s="4"/>
      <c r="B147" s="6"/>
      <c r="C147" s="4"/>
      <c r="D147" s="284"/>
      <c r="E147" s="4"/>
      <c r="F147" s="4"/>
      <c r="G147" s="4"/>
      <c r="H147" s="4"/>
      <c r="I147" s="4"/>
      <c r="J147" s="4"/>
      <c r="K147" s="4"/>
      <c r="L147" s="4"/>
    </row>
    <row r="148" spans="1:12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4"/>
    </row>
    <row r="151" spans="1:12" ht="12">
      <c r="A151" s="4"/>
      <c r="B151" s="4"/>
      <c r="C151" s="6"/>
      <c r="D151" s="4"/>
      <c r="E151" s="4"/>
      <c r="F151" s="4"/>
      <c r="G151" s="285"/>
      <c r="H151" s="285"/>
      <c r="L151" s="4"/>
    </row>
    <row r="152" spans="1:12" ht="12">
      <c r="A152" s="7"/>
      <c r="B152" s="7"/>
      <c r="C152" s="7"/>
      <c r="D152" s="7"/>
      <c r="E152" s="7"/>
      <c r="F152" s="7"/>
      <c r="G152" s="7"/>
      <c r="H152" s="7"/>
      <c r="L152" s="4"/>
    </row>
    <row r="153" spans="1:12" ht="12">
      <c r="A153" s="4"/>
      <c r="B153" s="4"/>
      <c r="C153" s="4"/>
      <c r="D153" s="4"/>
      <c r="E153" s="4"/>
      <c r="F153" s="4"/>
      <c r="G153" s="4"/>
      <c r="H153" s="4"/>
      <c r="L153" s="4"/>
    </row>
    <row r="154" spans="1:12" ht="12">
      <c r="A154" s="4"/>
      <c r="B154" s="4"/>
      <c r="C154" s="4"/>
      <c r="D154" s="4"/>
      <c r="E154" s="4"/>
      <c r="F154" s="4"/>
      <c r="G154" s="4"/>
      <c r="H154" s="4"/>
      <c r="L154" s="4"/>
    </row>
    <row r="155" spans="2:12" ht="12">
      <c r="B155" s="286"/>
      <c r="C155" s="287"/>
      <c r="G155" s="288"/>
      <c r="H155" s="287"/>
      <c r="L155" s="4"/>
    </row>
    <row r="156" spans="7:12" ht="12">
      <c r="G156" s="289"/>
      <c r="L156" s="4"/>
    </row>
    <row r="157" spans="7:12" ht="12">
      <c r="G157" s="289"/>
      <c r="L157" s="4"/>
    </row>
    <row r="158" spans="2:12" ht="12">
      <c r="B158" s="286"/>
      <c r="C158" s="287"/>
      <c r="G158" s="288"/>
      <c r="H158" s="287"/>
      <c r="L158" s="4"/>
    </row>
    <row r="159" spans="7:12" ht="12">
      <c r="G159" s="29"/>
      <c r="L159" s="4"/>
    </row>
    <row r="160" spans="7:12" ht="12">
      <c r="G160" s="29"/>
      <c r="L160" s="4"/>
    </row>
    <row r="161" spans="2:12" ht="12">
      <c r="B161" s="3"/>
      <c r="C161" s="290"/>
      <c r="G161" s="288"/>
      <c r="H161" s="287"/>
      <c r="L161" s="4"/>
    </row>
    <row r="162" spans="7:12" ht="12">
      <c r="G162" s="29"/>
      <c r="L162" s="4"/>
    </row>
    <row r="163" spans="7:12" ht="12">
      <c r="G163" s="29"/>
      <c r="L163" s="4"/>
    </row>
    <row r="164" spans="2:12" ht="12">
      <c r="B164" s="3"/>
      <c r="C164" s="291"/>
      <c r="G164" s="288"/>
      <c r="H164" s="292"/>
      <c r="L164" s="4"/>
    </row>
    <row r="165" spans="10:12" ht="12">
      <c r="J165" s="4"/>
      <c r="K165" s="4"/>
      <c r="L165" s="4"/>
    </row>
    <row r="166" spans="1:12" ht="12">
      <c r="A166" s="293"/>
      <c r="B166" s="293"/>
      <c r="C166" s="293"/>
      <c r="D166" s="293"/>
      <c r="E166" s="293"/>
      <c r="F166" s="293"/>
      <c r="G166" s="293"/>
      <c r="H166" s="293"/>
      <c r="I166" s="293"/>
      <c r="J166" s="7"/>
      <c r="K166" s="7"/>
      <c r="L166" s="4"/>
    </row>
    <row r="167" spans="10:12" ht="12">
      <c r="J167" s="4"/>
      <c r="K167" s="4"/>
      <c r="L167" s="4"/>
    </row>
    <row r="168" spans="2:12" ht="12">
      <c r="B168" s="286"/>
      <c r="D168" s="292"/>
      <c r="J168" s="4"/>
      <c r="K168" s="4"/>
      <c r="L168" s="4"/>
    </row>
    <row r="169" spans="10:12" ht="12">
      <c r="J169" s="4"/>
      <c r="K169" s="4"/>
      <c r="L169" s="4"/>
    </row>
    <row r="170" spans="1:12" ht="12">
      <c r="A170" s="293"/>
      <c r="B170" s="293"/>
      <c r="C170" s="293"/>
      <c r="D170" s="293"/>
      <c r="E170" s="293"/>
      <c r="F170" s="293"/>
      <c r="G170" s="293"/>
      <c r="H170" s="293"/>
      <c r="I170" s="293"/>
      <c r="J170" s="7"/>
      <c r="K170" s="7"/>
      <c r="L170" s="4"/>
    </row>
    <row r="171" spans="1:12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sheetProtection password="F184" sheet="1"/>
  <mergeCells count="6">
    <mergeCell ref="R34:S34"/>
    <mergeCell ref="F42:G42"/>
    <mergeCell ref="A1:K1"/>
    <mergeCell ref="M1:W1"/>
    <mergeCell ref="A5:J5"/>
    <mergeCell ref="R10:S10"/>
  </mergeCells>
  <printOptions horizontalCentered="1" verticalCentered="1"/>
  <pageMargins left="0" right="0" top="0.7874015748031497" bottom="0.1968503937007874" header="0.1968503937007874" footer="0.1968503937007874"/>
  <pageSetup horizontalDpi="600" verticalDpi="600" orientation="landscape" paperSize="9" scale="50" r:id="rId1"/>
  <headerFooter alignWithMargins="0">
    <oddHeader>&amp;CPágina &amp;P de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6">
      <selection activeCell="J31" sqref="J31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9.375" style="1" customWidth="1"/>
    <col min="12" max="12" width="0.875" style="1" customWidth="1"/>
    <col min="13" max="16384" width="11.00390625" style="1" customWidth="1"/>
  </cols>
  <sheetData>
    <row r="1" spans="1:12" ht="22.5" customHeight="1" thickBot="1">
      <c r="A1" s="834" t="s">
        <v>255</v>
      </c>
      <c r="B1" s="835"/>
      <c r="C1" s="835"/>
      <c r="D1" s="835"/>
      <c r="E1" s="835"/>
      <c r="F1" s="835"/>
      <c r="G1" s="835"/>
      <c r="H1" s="835"/>
      <c r="I1" s="835"/>
      <c r="J1" s="835"/>
      <c r="K1" s="836"/>
      <c r="L1" s="354"/>
    </row>
    <row r="2" spans="1:12" ht="20.25">
      <c r="A2" s="85" t="s">
        <v>222</v>
      </c>
      <c r="B2" s="86"/>
      <c r="C2" s="87"/>
      <c r="D2" s="86"/>
      <c r="E2" s="86"/>
      <c r="F2" s="86"/>
      <c r="G2" s="88"/>
      <c r="H2" s="86"/>
      <c r="I2" s="86"/>
      <c r="J2" s="86"/>
      <c r="K2" s="89"/>
      <c r="L2" s="354"/>
    </row>
    <row r="3" spans="1:12" ht="20.25">
      <c r="A3" s="94" t="s">
        <v>223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  <c r="L3" s="354"/>
    </row>
    <row r="4" spans="1:12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354"/>
    </row>
    <row r="5" spans="1:12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  <c r="L5" s="354"/>
    </row>
    <row r="6" spans="1:12" ht="12.75">
      <c r="A6" s="104"/>
      <c r="B6" s="105"/>
      <c r="C6" s="105"/>
      <c r="D6" s="105"/>
      <c r="E6" s="114"/>
      <c r="F6" s="105"/>
      <c r="G6" s="105"/>
      <c r="H6" s="105"/>
      <c r="I6" s="105"/>
      <c r="J6" s="105"/>
      <c r="K6" s="115"/>
      <c r="L6" s="354"/>
    </row>
    <row r="7" spans="1:12" ht="15.75">
      <c r="A7" s="109" t="s">
        <v>60</v>
      </c>
      <c r="B7" s="111" t="s">
        <v>61</v>
      </c>
      <c r="C7" s="110"/>
      <c r="D7" s="110"/>
      <c r="E7" s="110"/>
      <c r="F7" s="110"/>
      <c r="G7" s="110"/>
      <c r="H7" s="110"/>
      <c r="I7" s="110"/>
      <c r="J7" s="110"/>
      <c r="K7" s="117"/>
      <c r="L7" s="354"/>
    </row>
    <row r="8" spans="1:12" ht="12.75">
      <c r="A8" s="109"/>
      <c r="B8" s="110"/>
      <c r="C8" s="131"/>
      <c r="D8" s="110"/>
      <c r="E8" s="110"/>
      <c r="F8" s="110"/>
      <c r="G8" s="110"/>
      <c r="H8" s="120"/>
      <c r="I8" s="120"/>
      <c r="J8" s="110"/>
      <c r="K8" s="117"/>
      <c r="L8" s="354"/>
    </row>
    <row r="9" spans="1:12" ht="12.75">
      <c r="A9" s="109" t="s">
        <v>256</v>
      </c>
      <c r="B9" s="110"/>
      <c r="C9" s="131"/>
      <c r="D9" s="110"/>
      <c r="E9" s="84"/>
      <c r="F9" s="84"/>
      <c r="G9" s="84"/>
      <c r="H9" s="120"/>
      <c r="I9" s="120"/>
      <c r="J9" s="110"/>
      <c r="K9" s="117"/>
      <c r="L9" s="354"/>
    </row>
    <row r="10" spans="1:12" ht="12.75">
      <c r="A10" s="109"/>
      <c r="B10" s="110"/>
      <c r="C10" s="131"/>
      <c r="D10" s="110"/>
      <c r="E10" s="110"/>
      <c r="F10" s="110"/>
      <c r="G10" s="110"/>
      <c r="H10" s="110"/>
      <c r="I10" s="110"/>
      <c r="J10" s="110"/>
      <c r="K10" s="117"/>
      <c r="L10" s="354"/>
    </row>
    <row r="11" spans="1:12" ht="12.75">
      <c r="A11" s="109"/>
      <c r="B11" s="110"/>
      <c r="C11" s="131"/>
      <c r="D11" s="110"/>
      <c r="E11" s="110"/>
      <c r="F11" s="110"/>
      <c r="G11" s="110"/>
      <c r="H11" s="110"/>
      <c r="I11" s="110"/>
      <c r="J11" s="110"/>
      <c r="K11" s="117"/>
      <c r="L11" s="354"/>
    </row>
    <row r="12" spans="1:12" ht="12.75">
      <c r="A12" s="121"/>
      <c r="B12" s="137"/>
      <c r="C12" s="123"/>
      <c r="D12" s="137"/>
      <c r="E12" s="124"/>
      <c r="F12" s="125"/>
      <c r="G12" s="126"/>
      <c r="H12" s="126"/>
      <c r="I12" s="126"/>
      <c r="J12" s="126"/>
      <c r="K12" s="117"/>
      <c r="L12" s="354"/>
    </row>
    <row r="13" spans="1:12" ht="12.75">
      <c r="A13" s="14"/>
      <c r="B13" s="15"/>
      <c r="C13" s="15"/>
      <c r="D13" s="15"/>
      <c r="E13" s="15"/>
      <c r="F13" s="15"/>
      <c r="G13" s="15"/>
      <c r="H13" s="15"/>
      <c r="I13" s="135" t="s">
        <v>64</v>
      </c>
      <c r="J13" s="139"/>
      <c r="K13" s="140"/>
      <c r="L13" s="354"/>
    </row>
    <row r="14" spans="1:12" ht="12.75">
      <c r="A14" s="16" t="s">
        <v>75</v>
      </c>
      <c r="B14" s="12" t="s">
        <v>67</v>
      </c>
      <c r="C14" s="12" t="s">
        <v>76</v>
      </c>
      <c r="D14" s="12" t="s">
        <v>67</v>
      </c>
      <c r="E14" s="12" t="s">
        <v>66</v>
      </c>
      <c r="F14" s="12" t="s">
        <v>69</v>
      </c>
      <c r="G14" s="12" t="s">
        <v>70</v>
      </c>
      <c r="H14" s="12" t="s">
        <v>71</v>
      </c>
      <c r="I14" s="12" t="s">
        <v>72</v>
      </c>
      <c r="J14" s="138" t="s">
        <v>73</v>
      </c>
      <c r="K14" s="147"/>
      <c r="L14" s="354"/>
    </row>
    <row r="15" spans="1:12" ht="12.75">
      <c r="A15" s="149"/>
      <c r="B15" s="150"/>
      <c r="C15" s="150"/>
      <c r="D15" s="150"/>
      <c r="E15" s="150"/>
      <c r="F15" s="150"/>
      <c r="G15" s="150"/>
      <c r="H15" s="150"/>
      <c r="I15" s="144" t="s">
        <v>74</v>
      </c>
      <c r="J15" s="151"/>
      <c r="K15" s="140"/>
      <c r="L15" s="354"/>
    </row>
    <row r="16" spans="1:12" ht="12.75">
      <c r="A16" s="152"/>
      <c r="B16" s="148"/>
      <c r="C16" s="148"/>
      <c r="D16" s="148"/>
      <c r="E16" s="148"/>
      <c r="F16" s="148"/>
      <c r="G16" s="148"/>
      <c r="H16" s="148"/>
      <c r="I16" s="148"/>
      <c r="J16" s="156"/>
      <c r="K16" s="117"/>
      <c r="L16" s="354"/>
    </row>
    <row r="17" spans="1:12" ht="12.75">
      <c r="A17" s="152"/>
      <c r="B17" s="148"/>
      <c r="C17" s="148"/>
      <c r="D17" s="148"/>
      <c r="E17" s="148"/>
      <c r="F17" s="153" t="s">
        <v>79</v>
      </c>
      <c r="G17" s="12" t="s">
        <v>80</v>
      </c>
      <c r="H17" s="148"/>
      <c r="I17" s="148"/>
      <c r="J17" s="156"/>
      <c r="K17" s="117"/>
      <c r="L17" s="354"/>
    </row>
    <row r="18" spans="1:12" ht="12.75">
      <c r="A18" s="769">
        <v>1</v>
      </c>
      <c r="B18" s="12" t="s">
        <v>202</v>
      </c>
      <c r="C18" s="770">
        <v>120</v>
      </c>
      <c r="D18" s="12" t="s">
        <v>87</v>
      </c>
      <c r="E18" s="159">
        <v>80</v>
      </c>
      <c r="F18" s="153" t="s">
        <v>89</v>
      </c>
      <c r="G18" s="153" t="s">
        <v>257</v>
      </c>
      <c r="H18" s="159">
        <f aca="true" t="shared" si="0" ref="H18:H23">E18</f>
        <v>80</v>
      </c>
      <c r="I18" s="255">
        <v>405</v>
      </c>
      <c r="J18" s="177">
        <f>(+I18*H18)*A18/C18</f>
        <v>270</v>
      </c>
      <c r="K18" s="173">
        <f aca="true" t="shared" si="1" ref="K18:K23">J18/J$51</f>
        <v>0.0059</v>
      </c>
      <c r="L18" s="354"/>
    </row>
    <row r="19" spans="1:12" ht="12.75">
      <c r="A19" s="773">
        <v>2</v>
      </c>
      <c r="B19" s="12" t="s">
        <v>202</v>
      </c>
      <c r="C19" s="770">
        <v>1</v>
      </c>
      <c r="D19" s="12" t="s">
        <v>87</v>
      </c>
      <c r="E19" s="159">
        <v>160</v>
      </c>
      <c r="F19" s="153" t="s">
        <v>100</v>
      </c>
      <c r="G19" s="153" t="s">
        <v>241</v>
      </c>
      <c r="H19" s="159">
        <f t="shared" si="0"/>
        <v>160</v>
      </c>
      <c r="I19" s="255">
        <v>15.91</v>
      </c>
      <c r="J19" s="177">
        <f>(I19*H19)*A19/C19</f>
        <v>5091.2</v>
      </c>
      <c r="K19" s="173">
        <f t="shared" si="1"/>
        <v>0.1115</v>
      </c>
      <c r="L19" s="354"/>
    </row>
    <row r="20" spans="1:12" ht="12.75">
      <c r="A20" s="769">
        <v>1</v>
      </c>
      <c r="B20" s="12" t="s">
        <v>202</v>
      </c>
      <c r="C20" s="770">
        <v>12</v>
      </c>
      <c r="D20" s="12" t="s">
        <v>87</v>
      </c>
      <c r="E20" s="159">
        <f>E19</f>
        <v>160</v>
      </c>
      <c r="F20" s="153" t="s">
        <v>109</v>
      </c>
      <c r="G20" s="153" t="s">
        <v>242</v>
      </c>
      <c r="H20" s="159">
        <f t="shared" si="0"/>
        <v>160</v>
      </c>
      <c r="I20" s="255">
        <v>19.9</v>
      </c>
      <c r="J20" s="177">
        <f>(+I20*H20)*A20/C20</f>
        <v>265.33</v>
      </c>
      <c r="K20" s="173">
        <f t="shared" si="1"/>
        <v>0.0058</v>
      </c>
      <c r="L20" s="354"/>
    </row>
    <row r="21" spans="1:12" ht="12.75">
      <c r="A21" s="769">
        <v>1</v>
      </c>
      <c r="B21" s="12" t="s">
        <v>202</v>
      </c>
      <c r="C21" s="770">
        <v>12</v>
      </c>
      <c r="D21" s="12" t="s">
        <v>87</v>
      </c>
      <c r="E21" s="159">
        <f>E20</f>
        <v>160</v>
      </c>
      <c r="F21" s="153" t="s">
        <v>113</v>
      </c>
      <c r="G21" s="153" t="s">
        <v>258</v>
      </c>
      <c r="H21" s="159">
        <f t="shared" si="0"/>
        <v>160</v>
      </c>
      <c r="I21" s="255">
        <v>17.9</v>
      </c>
      <c r="J21" s="177">
        <f>(+I21*H21)*A21/C21</f>
        <v>238.67</v>
      </c>
      <c r="K21" s="173">
        <f t="shared" si="1"/>
        <v>0.0052</v>
      </c>
      <c r="L21" s="354"/>
    </row>
    <row r="22" spans="1:12" ht="12.75">
      <c r="A22" s="766">
        <f>3*26</f>
        <v>78</v>
      </c>
      <c r="B22" s="12" t="s">
        <v>202</v>
      </c>
      <c r="C22" s="770">
        <v>1</v>
      </c>
      <c r="D22" s="12" t="s">
        <v>87</v>
      </c>
      <c r="E22" s="159">
        <f>E18</f>
        <v>80</v>
      </c>
      <c r="F22" s="153" t="s">
        <v>116</v>
      </c>
      <c r="G22" s="153" t="s">
        <v>245</v>
      </c>
      <c r="H22" s="159">
        <f t="shared" si="0"/>
        <v>80</v>
      </c>
      <c r="I22" s="255">
        <v>3.79</v>
      </c>
      <c r="J22" s="177">
        <f>(+I22*H22)*A22/C22</f>
        <v>23649.6</v>
      </c>
      <c r="K22" s="173">
        <f t="shared" si="1"/>
        <v>0.518</v>
      </c>
      <c r="L22" s="354"/>
    </row>
    <row r="23" spans="1:12" ht="12.75">
      <c r="A23" s="769">
        <v>2</v>
      </c>
      <c r="B23" s="12" t="s">
        <v>202</v>
      </c>
      <c r="C23" s="770">
        <v>6</v>
      </c>
      <c r="D23" s="12" t="s">
        <v>87</v>
      </c>
      <c r="E23" s="159">
        <v>160</v>
      </c>
      <c r="F23" s="153" t="s">
        <v>120</v>
      </c>
      <c r="G23" s="153" t="s">
        <v>211</v>
      </c>
      <c r="H23" s="159">
        <f t="shared" si="0"/>
        <v>160</v>
      </c>
      <c r="I23" s="255">
        <v>45</v>
      </c>
      <c r="J23" s="177">
        <f>(I23*H23*A23)/C23</f>
        <v>2400</v>
      </c>
      <c r="K23" s="173">
        <f t="shared" si="1"/>
        <v>0.0526</v>
      </c>
      <c r="L23" s="354"/>
    </row>
    <row r="24" spans="1:12" ht="12.75">
      <c r="A24" s="766">
        <v>1</v>
      </c>
      <c r="B24" s="12" t="s">
        <v>202</v>
      </c>
      <c r="C24" s="770">
        <v>120</v>
      </c>
      <c r="D24" s="12" t="s">
        <v>87</v>
      </c>
      <c r="E24" s="159">
        <f>E18</f>
        <v>80</v>
      </c>
      <c r="F24" s="153" t="s">
        <v>125</v>
      </c>
      <c r="G24" s="153" t="s">
        <v>509</v>
      </c>
      <c r="H24" s="159">
        <f>E24</f>
        <v>80</v>
      </c>
      <c r="I24" s="255">
        <v>890</v>
      </c>
      <c r="J24" s="177">
        <f>(+I24*H24)*A24/C24</f>
        <v>593.33</v>
      </c>
      <c r="K24" s="173">
        <f>J24/J$51</f>
        <v>0.013</v>
      </c>
      <c r="L24" s="354"/>
    </row>
    <row r="25" spans="1:12" ht="12.75">
      <c r="A25" s="766">
        <v>4</v>
      </c>
      <c r="B25" s="12" t="s">
        <v>513</v>
      </c>
      <c r="C25" s="770">
        <v>1</v>
      </c>
      <c r="D25" s="12" t="s">
        <v>87</v>
      </c>
      <c r="E25" s="159">
        <f>E24</f>
        <v>80</v>
      </c>
      <c r="F25" s="153" t="s">
        <v>132</v>
      </c>
      <c r="G25" s="153" t="s">
        <v>512</v>
      </c>
      <c r="H25" s="159">
        <f>E25</f>
        <v>80</v>
      </c>
      <c r="I25" s="255">
        <v>10</v>
      </c>
      <c r="J25" s="177">
        <f>(+I25*H25)*A25/C25</f>
        <v>3200</v>
      </c>
      <c r="K25" s="173">
        <f>J25/J$51</f>
        <v>0.0701</v>
      </c>
      <c r="L25" s="354"/>
    </row>
    <row r="26" spans="1:12" ht="12.75">
      <c r="A26" s="176"/>
      <c r="B26" s="12"/>
      <c r="C26" s="159"/>
      <c r="D26" s="12"/>
      <c r="E26" s="159"/>
      <c r="F26" s="153"/>
      <c r="G26" s="226"/>
      <c r="H26" s="772"/>
      <c r="I26" s="751"/>
      <c r="J26" s="380"/>
      <c r="K26" s="173"/>
      <c r="L26" s="354"/>
    </row>
    <row r="27" spans="1:12" ht="12.75">
      <c r="A27" s="174"/>
      <c r="B27" s="148"/>
      <c r="C27" s="161"/>
      <c r="D27" s="148"/>
      <c r="E27" s="148"/>
      <c r="F27" s="170" t="s">
        <v>203</v>
      </c>
      <c r="G27" s="156" t="s">
        <v>445</v>
      </c>
      <c r="H27" s="749"/>
      <c r="I27" s="751"/>
      <c r="J27" s="380">
        <f>SUM(J18:J25)</f>
        <v>35708.13</v>
      </c>
      <c r="K27" s="173"/>
      <c r="L27" s="354"/>
    </row>
    <row r="28" spans="1:12" ht="12.75">
      <c r="A28" s="174"/>
      <c r="B28" s="148"/>
      <c r="C28" s="161"/>
      <c r="D28" s="148"/>
      <c r="E28" s="424"/>
      <c r="F28" s="170"/>
      <c r="G28" s="752"/>
      <c r="H28" s="753"/>
      <c r="I28" s="751"/>
      <c r="J28" s="750"/>
      <c r="K28" s="173"/>
      <c r="L28" s="354"/>
    </row>
    <row r="29" spans="1:12" ht="12.75">
      <c r="A29" s="760">
        <v>2.5</v>
      </c>
      <c r="B29" s="168" t="s">
        <v>198</v>
      </c>
      <c r="C29" s="161"/>
      <c r="D29" s="12"/>
      <c r="E29" s="424"/>
      <c r="F29" s="170" t="s">
        <v>451</v>
      </c>
      <c r="G29" s="226" t="s">
        <v>448</v>
      </c>
      <c r="H29" s="186">
        <f>A29/100</f>
        <v>0.025</v>
      </c>
      <c r="I29" s="246">
        <f>J27</f>
        <v>35708.13</v>
      </c>
      <c r="J29" s="172">
        <f>H29*I29</f>
        <v>892.7</v>
      </c>
      <c r="K29" s="173">
        <f>J29/J$51</f>
        <v>0.0196</v>
      </c>
      <c r="L29" s="354"/>
    </row>
    <row r="30" spans="1:12" ht="12.75">
      <c r="A30" s="152"/>
      <c r="B30" s="148"/>
      <c r="C30" s="179"/>
      <c r="D30" s="148"/>
      <c r="E30" s="148"/>
      <c r="F30" s="148"/>
      <c r="G30" s="148"/>
      <c r="H30" s="148"/>
      <c r="I30" s="179"/>
      <c r="J30" s="187"/>
      <c r="K30" s="356"/>
      <c r="L30" s="354"/>
    </row>
    <row r="31" spans="1:12" ht="12.75">
      <c r="A31" s="141"/>
      <c r="B31" s="142"/>
      <c r="C31" s="144"/>
      <c r="D31" s="142"/>
      <c r="E31" s="142"/>
      <c r="F31" s="223" t="s">
        <v>206</v>
      </c>
      <c r="G31" s="218" t="s">
        <v>511</v>
      </c>
      <c r="H31" s="224"/>
      <c r="I31" s="224"/>
      <c r="J31" s="225">
        <f>SUM(J27:J29)</f>
        <v>36600.83</v>
      </c>
      <c r="K31" s="196">
        <f>J31/J$51</f>
        <v>0.8017</v>
      </c>
      <c r="L31" s="354"/>
    </row>
    <row r="32" spans="1:12" ht="12.75">
      <c r="A32" s="197"/>
      <c r="B32" s="113"/>
      <c r="C32" s="113"/>
      <c r="D32" s="113"/>
      <c r="E32" s="113"/>
      <c r="F32" s="154"/>
      <c r="G32" s="154"/>
      <c r="H32" s="154"/>
      <c r="I32" s="154"/>
      <c r="J32" s="127"/>
      <c r="K32" s="228"/>
      <c r="L32" s="354"/>
    </row>
    <row r="33" spans="1:12" ht="20.25">
      <c r="A33" s="229" t="s">
        <v>136</v>
      </c>
      <c r="B33" s="230"/>
      <c r="C33" s="230"/>
      <c r="D33" s="230"/>
      <c r="E33" s="230"/>
      <c r="F33" s="230"/>
      <c r="G33" s="230"/>
      <c r="H33" s="230"/>
      <c r="I33" s="230"/>
      <c r="J33" s="230"/>
      <c r="K33" s="192"/>
      <c r="L33" s="354"/>
    </row>
    <row r="34" spans="1:12" ht="20.25">
      <c r="A34" s="197"/>
      <c r="B34" s="113"/>
      <c r="C34" s="113"/>
      <c r="D34" s="113"/>
      <c r="E34" s="113"/>
      <c r="F34" s="113"/>
      <c r="G34" s="155"/>
      <c r="H34" s="113"/>
      <c r="I34" s="113"/>
      <c r="J34" s="113"/>
      <c r="K34" s="97"/>
      <c r="L34" s="354"/>
    </row>
    <row r="35" spans="1:12" ht="12.75">
      <c r="A35" s="188"/>
      <c r="B35" s="134"/>
      <c r="C35" s="133"/>
      <c r="D35" s="133"/>
      <c r="E35" s="133"/>
      <c r="F35" s="231"/>
      <c r="G35" s="182"/>
      <c r="H35" s="15"/>
      <c r="I35" s="135" t="s">
        <v>64</v>
      </c>
      <c r="J35" s="136"/>
      <c r="K35" s="117"/>
      <c r="L35" s="354"/>
    </row>
    <row r="36" spans="1:12" ht="12.75">
      <c r="A36" s="197"/>
      <c r="B36" s="233"/>
      <c r="C36" s="12" t="s">
        <v>75</v>
      </c>
      <c r="D36" s="12" t="s">
        <v>67</v>
      </c>
      <c r="E36" s="12" t="s">
        <v>69</v>
      </c>
      <c r="F36" s="815" t="s">
        <v>70</v>
      </c>
      <c r="G36" s="816"/>
      <c r="H36" s="12" t="s">
        <v>71</v>
      </c>
      <c r="I36" s="12" t="s">
        <v>72</v>
      </c>
      <c r="J36" s="138" t="s">
        <v>73</v>
      </c>
      <c r="K36" s="117"/>
      <c r="L36" s="354"/>
    </row>
    <row r="37" spans="1:12" ht="12.75">
      <c r="A37" s="197"/>
      <c r="B37" s="233"/>
      <c r="C37" s="142"/>
      <c r="D37" s="142"/>
      <c r="E37" s="142"/>
      <c r="F37" s="145"/>
      <c r="G37" s="126"/>
      <c r="H37" s="150"/>
      <c r="I37" s="144" t="s">
        <v>74</v>
      </c>
      <c r="J37" s="145"/>
      <c r="K37" s="234"/>
      <c r="L37" s="354"/>
    </row>
    <row r="38" spans="1:12" ht="12.75">
      <c r="A38" s="197"/>
      <c r="B38" s="233"/>
      <c r="C38" s="148"/>
      <c r="D38" s="148"/>
      <c r="E38" s="153" t="s">
        <v>146</v>
      </c>
      <c r="F38" s="181" t="s">
        <v>453</v>
      </c>
      <c r="G38" s="106"/>
      <c r="H38" s="235"/>
      <c r="I38" s="161">
        <f>J31</f>
        <v>36600.83</v>
      </c>
      <c r="J38" s="236">
        <f>J31</f>
        <v>36600.83</v>
      </c>
      <c r="K38" s="117"/>
      <c r="L38" s="354"/>
    </row>
    <row r="39" spans="1:12" ht="12.75">
      <c r="A39" s="197"/>
      <c r="B39" s="233"/>
      <c r="C39" s="706"/>
      <c r="D39" s="12"/>
      <c r="E39" s="153"/>
      <c r="F39" s="226"/>
      <c r="G39" s="227"/>
      <c r="H39" s="160"/>
      <c r="I39" s="179"/>
      <c r="J39" s="177"/>
      <c r="K39" s="173"/>
      <c r="L39" s="354"/>
    </row>
    <row r="40" spans="1:12" ht="12.75">
      <c r="A40" s="197"/>
      <c r="B40" s="233"/>
      <c r="C40" s="237">
        <v>5.5</v>
      </c>
      <c r="D40" s="12" t="s">
        <v>51</v>
      </c>
      <c r="E40" s="153" t="s">
        <v>149</v>
      </c>
      <c r="F40" s="226" t="s">
        <v>138</v>
      </c>
      <c r="G40" s="227"/>
      <c r="H40" s="160">
        <f>(C40/100)</f>
        <v>0.055</v>
      </c>
      <c r="I40" s="179"/>
      <c r="J40" s="177">
        <f>(+J38*H40)</f>
        <v>2013.05</v>
      </c>
      <c r="K40" s="173">
        <f>J40/J$51</f>
        <v>0.0441</v>
      </c>
      <c r="L40" s="354"/>
    </row>
    <row r="41" spans="1:12" ht="12.75">
      <c r="A41" s="197"/>
      <c r="B41" s="233"/>
      <c r="C41" s="161" t="s">
        <v>139</v>
      </c>
      <c r="D41" s="148"/>
      <c r="E41" s="148"/>
      <c r="F41" s="156"/>
      <c r="G41" s="113"/>
      <c r="H41" s="160"/>
      <c r="I41" s="161"/>
      <c r="J41" s="177"/>
      <c r="K41" s="238"/>
      <c r="L41" s="354"/>
    </row>
    <row r="42" spans="1:12" ht="12.75">
      <c r="A42" s="197"/>
      <c r="B42" s="233"/>
      <c r="C42" s="245"/>
      <c r="D42" s="148"/>
      <c r="E42" s="153" t="s">
        <v>152</v>
      </c>
      <c r="F42" s="226" t="s">
        <v>424</v>
      </c>
      <c r="G42" s="113"/>
      <c r="H42" s="160"/>
      <c r="I42" s="179"/>
      <c r="J42" s="177">
        <f>SUM(J38:J40)</f>
        <v>38613.88</v>
      </c>
      <c r="K42" s="173"/>
      <c r="L42" s="354"/>
    </row>
    <row r="43" spans="1:12" ht="12.75">
      <c r="A43" s="197"/>
      <c r="B43" s="233"/>
      <c r="C43" s="161">
        <v>0</v>
      </c>
      <c r="D43" s="12" t="s">
        <v>51</v>
      </c>
      <c r="E43" s="153" t="s">
        <v>154</v>
      </c>
      <c r="F43" s="226" t="s">
        <v>142</v>
      </c>
      <c r="G43" s="227"/>
      <c r="H43" s="160">
        <f>(C43/100)</f>
        <v>0</v>
      </c>
      <c r="I43" s="246">
        <f>J42</f>
        <v>38613.88</v>
      </c>
      <c r="J43" s="177">
        <f>(+J42*H43)</f>
        <v>0</v>
      </c>
      <c r="K43" s="173">
        <f>J43/J$51</f>
        <v>0</v>
      </c>
      <c r="L43" s="354"/>
    </row>
    <row r="44" spans="1:12" ht="12.75">
      <c r="A44" s="197"/>
      <c r="B44" s="233"/>
      <c r="C44" s="161" t="s">
        <v>139</v>
      </c>
      <c r="D44" s="148"/>
      <c r="E44" s="148"/>
      <c r="F44" s="156"/>
      <c r="G44" s="113"/>
      <c r="H44" s="160"/>
      <c r="I44" s="161"/>
      <c r="J44" s="177"/>
      <c r="K44" s="238"/>
      <c r="L44" s="354"/>
    </row>
    <row r="45" spans="1:12" ht="12.75">
      <c r="A45" s="197"/>
      <c r="B45" s="233"/>
      <c r="C45" s="161" t="s">
        <v>139</v>
      </c>
      <c r="D45" s="148"/>
      <c r="E45" s="153" t="s">
        <v>155</v>
      </c>
      <c r="F45" s="226" t="s">
        <v>425</v>
      </c>
      <c r="G45" s="113"/>
      <c r="H45" s="160"/>
      <c r="I45" s="179"/>
      <c r="J45" s="177">
        <f>SUM(J42:J43)</f>
        <v>38613.88</v>
      </c>
      <c r="K45" s="238"/>
      <c r="L45" s="354"/>
    </row>
    <row r="46" spans="1:12" ht="12.75">
      <c r="A46" s="197"/>
      <c r="B46" s="233"/>
      <c r="C46" s="237">
        <v>9</v>
      </c>
      <c r="D46" s="12" t="s">
        <v>51</v>
      </c>
      <c r="E46" s="153" t="s">
        <v>156</v>
      </c>
      <c r="F46" s="226" t="s">
        <v>427</v>
      </c>
      <c r="G46" s="227"/>
      <c r="H46" s="160">
        <f>(C46/100)</f>
        <v>0.09</v>
      </c>
      <c r="I46" s="246">
        <f>J45</f>
        <v>38613.88</v>
      </c>
      <c r="J46" s="177">
        <f>(+J45*H46)</f>
        <v>3475.25</v>
      </c>
      <c r="K46" s="173">
        <f>J46/J$51</f>
        <v>0.0761</v>
      </c>
      <c r="L46" s="354"/>
    </row>
    <row r="47" spans="1:12" ht="12.75">
      <c r="A47" s="197"/>
      <c r="B47" s="233"/>
      <c r="C47" s="161" t="s">
        <v>139</v>
      </c>
      <c r="D47" s="148"/>
      <c r="E47" s="148"/>
      <c r="F47" s="156"/>
      <c r="G47" s="113"/>
      <c r="H47" s="160"/>
      <c r="I47" s="179"/>
      <c r="J47" s="177"/>
      <c r="K47" s="238"/>
      <c r="L47" s="354"/>
    </row>
    <row r="48" spans="1:12" ht="12.75">
      <c r="A48" s="197"/>
      <c r="B48" s="233"/>
      <c r="C48" s="161" t="s">
        <v>139</v>
      </c>
      <c r="D48" s="148"/>
      <c r="E48" s="153" t="s">
        <v>158</v>
      </c>
      <c r="F48" s="226" t="s">
        <v>162</v>
      </c>
      <c r="G48" s="113"/>
      <c r="H48" s="160"/>
      <c r="I48" s="179"/>
      <c r="J48" s="177">
        <f>SUM(J45:J46)</f>
        <v>42089.13</v>
      </c>
      <c r="K48" s="238"/>
      <c r="L48" s="354"/>
    </row>
    <row r="49" spans="1:12" ht="12.75">
      <c r="A49" s="197"/>
      <c r="B49" s="233"/>
      <c r="C49" s="255">
        <f>(15%*C46)+(9%*C46)+3.65+2</f>
        <v>7.81</v>
      </c>
      <c r="D49" s="12" t="s">
        <v>51</v>
      </c>
      <c r="E49" s="153" t="s">
        <v>165</v>
      </c>
      <c r="F49" s="226" t="s">
        <v>151</v>
      </c>
      <c r="G49" s="227"/>
      <c r="H49" s="160">
        <f>(C49/100)</f>
        <v>0.0781</v>
      </c>
      <c r="I49" s="179"/>
      <c r="J49" s="177">
        <f>(+J51*H49)</f>
        <v>3565.64</v>
      </c>
      <c r="K49" s="173">
        <f>J49/J$51</f>
        <v>0.0781</v>
      </c>
      <c r="L49" s="354"/>
    </row>
    <row r="50" spans="1:12" ht="12.75">
      <c r="A50" s="197"/>
      <c r="B50" s="233"/>
      <c r="C50" s="161" t="s">
        <v>139</v>
      </c>
      <c r="D50" s="148"/>
      <c r="E50" s="148"/>
      <c r="F50" s="156"/>
      <c r="G50" s="113"/>
      <c r="H50" s="179"/>
      <c r="I50" s="179"/>
      <c r="J50" s="177"/>
      <c r="K50" s="238"/>
      <c r="L50" s="354"/>
    </row>
    <row r="51" spans="1:12" ht="13.5" thickBot="1">
      <c r="A51" s="260"/>
      <c r="B51" s="261"/>
      <c r="C51" s="262" t="s">
        <v>139</v>
      </c>
      <c r="D51" s="263"/>
      <c r="E51" s="264" t="s">
        <v>161</v>
      </c>
      <c r="F51" s="265" t="s">
        <v>426</v>
      </c>
      <c r="G51" s="266"/>
      <c r="H51" s="266"/>
      <c r="I51" s="266"/>
      <c r="J51" s="267">
        <f>J48/(1-H49)</f>
        <v>45654.77</v>
      </c>
      <c r="K51" s="268">
        <f>J51/J51</f>
        <v>1</v>
      </c>
      <c r="L51" s="354"/>
    </row>
    <row r="53" ht="15.75">
      <c r="A53" s="69" t="s">
        <v>415</v>
      </c>
    </row>
    <row r="54" ht="15.75">
      <c r="A54" s="69" t="s">
        <v>416</v>
      </c>
    </row>
    <row r="55" ht="12">
      <c r="G55" s="13"/>
    </row>
    <row r="56" spans="1:9" ht="15.75">
      <c r="A56" s="69" t="str">
        <f>'Trator de Esteira'!A61</f>
        <v>Patos de Minas-MG, 16 de Novembro de 2015.</v>
      </c>
      <c r="G56" s="11"/>
      <c r="H56" s="11"/>
      <c r="I56" s="11"/>
    </row>
    <row r="57" spans="1:10" ht="12">
      <c r="A57" s="275"/>
      <c r="B57" s="275"/>
      <c r="C57" s="275"/>
      <c r="D57" s="275"/>
      <c r="E57" s="275"/>
      <c r="F57" s="275"/>
      <c r="G57" s="275"/>
      <c r="H57" s="275"/>
      <c r="I57" s="275"/>
      <c r="J57" s="275"/>
    </row>
    <row r="61" ht="12">
      <c r="C61" s="358"/>
    </row>
    <row r="81" ht="2.25" customHeight="1"/>
    <row r="82" ht="12.75" customHeight="1"/>
    <row r="83" ht="0.75" customHeight="1"/>
    <row r="108" ht="12.75">
      <c r="L108" s="276"/>
    </row>
    <row r="109" ht="12.75">
      <c r="L109" s="276"/>
    </row>
    <row r="110" ht="12.75">
      <c r="L110" s="276"/>
    </row>
    <row r="111" ht="12.75">
      <c r="L111" s="276"/>
    </row>
    <row r="112" ht="12.75">
      <c r="L112" s="2"/>
    </row>
    <row r="113" spans="1:11" ht="12.75">
      <c r="A113" s="276"/>
      <c r="B113" s="276"/>
      <c r="C113" s="276"/>
      <c r="D113" s="276"/>
      <c r="E113" s="280"/>
      <c r="F113" s="280"/>
      <c r="G113" s="280"/>
      <c r="H113" s="280"/>
      <c r="I113" s="280"/>
      <c r="J113" s="280"/>
      <c r="K113" s="280"/>
    </row>
    <row r="114" spans="1:12" ht="12.75">
      <c r="A114" s="276"/>
      <c r="B114" s="276"/>
      <c r="C114" s="276"/>
      <c r="D114" s="276"/>
      <c r="E114" s="276"/>
      <c r="F114" s="276"/>
      <c r="G114" s="276"/>
      <c r="H114" s="276"/>
      <c r="I114" s="276"/>
      <c r="J114" s="281"/>
      <c r="K114" s="281"/>
      <c r="L114" s="178"/>
    </row>
    <row r="115" spans="1:11" ht="12.75">
      <c r="A115" s="276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</row>
    <row r="116" spans="1:11" ht="12.75">
      <c r="A116" s="276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</row>
    <row r="117" spans="1:11" ht="12.75">
      <c r="A117" s="276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</row>
    <row r="118" spans="1:11" ht="12.75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1:12" ht="12.75">
      <c r="A119" s="2"/>
      <c r="B119" s="2"/>
      <c r="C119" s="2"/>
      <c r="D119" s="2"/>
      <c r="E119" s="282"/>
      <c r="F119" s="2"/>
      <c r="G119" s="2"/>
      <c r="H119" s="2"/>
      <c r="I119" s="2"/>
      <c r="J119" s="2"/>
      <c r="K119" s="2"/>
      <c r="L119" s="4"/>
    </row>
    <row r="120" spans="1:12" ht="12.75">
      <c r="A120" s="2"/>
      <c r="B120" s="2"/>
      <c r="C120" s="2"/>
      <c r="D120" s="2"/>
      <c r="E120" s="283"/>
      <c r="F120" s="283"/>
      <c r="G120" s="283"/>
      <c r="H120" s="283"/>
      <c r="I120" s="2"/>
      <c r="J120" s="2"/>
      <c r="K120" s="2"/>
      <c r="L120" s="4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"/>
    </row>
    <row r="122" spans="1:12" ht="12.75">
      <c r="A122" s="283"/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4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"/>
    </row>
    <row r="125" spans="1:12" ht="12.75">
      <c r="A125" s="2"/>
      <c r="B125" s="5"/>
      <c r="C125" s="2"/>
      <c r="D125" s="279"/>
      <c r="E125" s="2"/>
      <c r="F125" s="2"/>
      <c r="G125" s="2"/>
      <c r="H125" s="2"/>
      <c r="I125" s="2"/>
      <c r="J125" s="2"/>
      <c r="K125" s="2"/>
      <c r="L125" s="4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1:12" ht="12.75">
      <c r="A128" s="2"/>
      <c r="B128" s="5"/>
      <c r="C128" s="2"/>
      <c r="D128" s="279"/>
      <c r="E128" s="2"/>
      <c r="F128" s="2"/>
      <c r="G128" s="2"/>
      <c r="H128" s="2"/>
      <c r="I128" s="2"/>
      <c r="J128" s="2"/>
      <c r="K128" s="2"/>
      <c r="L128" s="4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1:12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">
      <c r="A131" s="4"/>
      <c r="B131" s="6"/>
      <c r="C131" s="4"/>
      <c r="D131" s="284"/>
      <c r="E131" s="4"/>
      <c r="F131" s="4"/>
      <c r="G131" s="4"/>
      <c r="H131" s="4"/>
      <c r="I131" s="4"/>
      <c r="J131" s="4"/>
      <c r="K131" s="4"/>
      <c r="L131" s="4"/>
    </row>
    <row r="132" spans="1:12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4"/>
    </row>
    <row r="135" spans="1:12" ht="12">
      <c r="A135" s="4"/>
      <c r="B135" s="4"/>
      <c r="C135" s="6"/>
      <c r="D135" s="4"/>
      <c r="E135" s="4"/>
      <c r="F135" s="4"/>
      <c r="G135" s="285"/>
      <c r="H135" s="285"/>
      <c r="L135" s="4"/>
    </row>
    <row r="136" spans="1:12" ht="12">
      <c r="A136" s="7"/>
      <c r="B136" s="7"/>
      <c r="C136" s="7"/>
      <c r="D136" s="7"/>
      <c r="E136" s="7"/>
      <c r="F136" s="7"/>
      <c r="G136" s="7"/>
      <c r="H136" s="7"/>
      <c r="L136" s="4"/>
    </row>
    <row r="137" spans="1:12" ht="12">
      <c r="A137" s="4"/>
      <c r="B137" s="4"/>
      <c r="C137" s="4"/>
      <c r="D137" s="4"/>
      <c r="E137" s="4"/>
      <c r="F137" s="4"/>
      <c r="G137" s="4"/>
      <c r="H137" s="4"/>
      <c r="L137" s="4"/>
    </row>
    <row r="138" spans="1:12" ht="12">
      <c r="A138" s="4"/>
      <c r="B138" s="4"/>
      <c r="C138" s="4"/>
      <c r="D138" s="4"/>
      <c r="E138" s="4"/>
      <c r="F138" s="4"/>
      <c r="G138" s="4"/>
      <c r="H138" s="4"/>
      <c r="L138" s="4"/>
    </row>
    <row r="139" spans="2:12" ht="12">
      <c r="B139" s="286"/>
      <c r="C139" s="287"/>
      <c r="G139" s="288"/>
      <c r="H139" s="287"/>
      <c r="L139" s="4"/>
    </row>
    <row r="140" spans="7:12" ht="12">
      <c r="G140" s="289"/>
      <c r="L140" s="4"/>
    </row>
    <row r="141" spans="7:12" ht="12">
      <c r="G141" s="289"/>
      <c r="L141" s="4"/>
    </row>
    <row r="142" spans="2:12" ht="12">
      <c r="B142" s="286"/>
      <c r="C142" s="287"/>
      <c r="G142" s="288"/>
      <c r="H142" s="287"/>
      <c r="L142" s="4"/>
    </row>
    <row r="143" spans="7:12" ht="12">
      <c r="G143" s="29"/>
      <c r="L143" s="4"/>
    </row>
    <row r="144" spans="7:12" ht="12">
      <c r="G144" s="29"/>
      <c r="L144" s="4"/>
    </row>
    <row r="145" spans="2:12" ht="12">
      <c r="B145" s="3"/>
      <c r="C145" s="290"/>
      <c r="G145" s="288"/>
      <c r="H145" s="287"/>
      <c r="L145" s="4"/>
    </row>
    <row r="146" spans="7:12" ht="12">
      <c r="G146" s="29"/>
      <c r="L146" s="4"/>
    </row>
    <row r="147" spans="7:12" ht="12">
      <c r="G147" s="29"/>
      <c r="L147" s="4"/>
    </row>
    <row r="148" spans="2:12" ht="12">
      <c r="B148" s="3"/>
      <c r="C148" s="291"/>
      <c r="G148" s="288"/>
      <c r="H148" s="292"/>
      <c r="L148" s="4"/>
    </row>
    <row r="149" spans="10:12" ht="12">
      <c r="J149" s="4"/>
      <c r="K149" s="4"/>
      <c r="L149" s="4"/>
    </row>
    <row r="150" spans="1:12" ht="12">
      <c r="A150" s="293"/>
      <c r="B150" s="293"/>
      <c r="C150" s="293"/>
      <c r="D150" s="293"/>
      <c r="E150" s="293"/>
      <c r="F150" s="293"/>
      <c r="G150" s="293"/>
      <c r="H150" s="293"/>
      <c r="I150" s="293"/>
      <c r="J150" s="7"/>
      <c r="K150" s="7"/>
      <c r="L150" s="4"/>
    </row>
    <row r="151" spans="10:12" ht="12">
      <c r="J151" s="4"/>
      <c r="K151" s="4"/>
      <c r="L151" s="4"/>
    </row>
    <row r="152" spans="2:12" ht="12">
      <c r="B152" s="286"/>
      <c r="D152" s="292"/>
      <c r="J152" s="4"/>
      <c r="K152" s="4"/>
      <c r="L152" s="4"/>
    </row>
    <row r="153" spans="10:12" ht="12">
      <c r="J153" s="4"/>
      <c r="K153" s="4"/>
      <c r="L153" s="4"/>
    </row>
    <row r="154" spans="1:12" ht="12">
      <c r="A154" s="293"/>
      <c r="B154" s="293"/>
      <c r="C154" s="293"/>
      <c r="D154" s="293"/>
      <c r="E154" s="293"/>
      <c r="F154" s="293"/>
      <c r="G154" s="293"/>
      <c r="H154" s="293"/>
      <c r="I154" s="293"/>
      <c r="J154" s="7"/>
      <c r="K154" s="7"/>
      <c r="L154" s="4"/>
    </row>
    <row r="155" spans="1:12" ht="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</sheetData>
  <sheetProtection password="F184" sheet="1"/>
  <mergeCells count="3">
    <mergeCell ref="A1:K1"/>
    <mergeCell ref="A5:J5"/>
    <mergeCell ref="F36:G36"/>
  </mergeCells>
  <printOptions horizontalCentered="1" verticalCentered="1"/>
  <pageMargins left="0" right="0" top="0.3937007874015748" bottom="0.1968503937007874" header="0.31496062992125984" footer="0.31496062992125984"/>
  <pageSetup horizontalDpi="600" verticalDpi="600" orientation="portrait" paperSize="9" scale="70" r:id="rId1"/>
  <headerFooter alignWithMargins="0">
    <oddHeader>&amp;CPágina &amp;P de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41">
      <selection activeCell="G58" sqref="G58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8.625" style="1" customWidth="1"/>
    <col min="6" max="6" width="12.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16384" width="11.00390625" style="1" customWidth="1"/>
  </cols>
  <sheetData>
    <row r="1" spans="1:11" ht="22.5" customHeight="1" thickBot="1">
      <c r="A1" s="817" t="s">
        <v>247</v>
      </c>
      <c r="B1" s="818"/>
      <c r="C1" s="818"/>
      <c r="D1" s="818"/>
      <c r="E1" s="818"/>
      <c r="F1" s="818"/>
      <c r="G1" s="818"/>
      <c r="H1" s="818"/>
      <c r="I1" s="818"/>
      <c r="J1" s="818"/>
      <c r="K1" s="819"/>
    </row>
    <row r="2" spans="1:11" ht="20.25">
      <c r="A2" s="85" t="s">
        <v>186</v>
      </c>
      <c r="B2" s="86"/>
      <c r="C2" s="87"/>
      <c r="D2" s="86"/>
      <c r="E2" s="86"/>
      <c r="F2" s="86"/>
      <c r="G2" s="88"/>
      <c r="H2" s="86"/>
      <c r="I2" s="86"/>
      <c r="J2" s="349"/>
      <c r="K2" s="89"/>
    </row>
    <row r="3" spans="1:11" ht="20.25">
      <c r="A3" s="94" t="s">
        <v>187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</row>
    <row r="4" spans="1:11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</row>
    <row r="6" spans="1:11" ht="12.75">
      <c r="A6" s="104" t="s">
        <v>248</v>
      </c>
      <c r="B6" s="105"/>
      <c r="C6" s="105"/>
      <c r="D6" s="105"/>
      <c r="E6" s="114"/>
      <c r="F6" s="105"/>
      <c r="G6" s="105"/>
      <c r="H6" s="105"/>
      <c r="I6" s="105"/>
      <c r="J6" s="105"/>
      <c r="K6" s="115"/>
    </row>
    <row r="7" spans="1:11" ht="12.7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7"/>
    </row>
    <row r="8" spans="1:11" ht="12.75">
      <c r="A8" s="109"/>
      <c r="B8" s="110"/>
      <c r="C8" s="110"/>
      <c r="D8" s="110"/>
      <c r="E8" s="110"/>
      <c r="F8" s="110"/>
      <c r="G8" s="110"/>
      <c r="H8" s="110"/>
      <c r="I8" s="120"/>
      <c r="J8" s="110"/>
      <c r="K8" s="117"/>
    </row>
    <row r="9" spans="1:11" ht="15.75">
      <c r="A9" s="109" t="s">
        <v>60</v>
      </c>
      <c r="B9" s="111" t="s">
        <v>61</v>
      </c>
      <c r="C9" s="110"/>
      <c r="D9" s="110"/>
      <c r="E9" s="110"/>
      <c r="F9" s="110"/>
      <c r="G9" s="110"/>
      <c r="H9" s="110"/>
      <c r="I9" s="120"/>
      <c r="J9" s="110"/>
      <c r="K9" s="117"/>
    </row>
    <row r="10" spans="1:11" ht="12.75">
      <c r="A10" s="109"/>
      <c r="B10" s="110"/>
      <c r="C10" s="131"/>
      <c r="D10" s="110"/>
      <c r="E10" s="110"/>
      <c r="F10" s="110"/>
      <c r="G10" s="110"/>
      <c r="H10" s="110"/>
      <c r="I10" s="110"/>
      <c r="J10" s="110"/>
      <c r="K10" s="117"/>
    </row>
    <row r="11" spans="1:11" ht="12.75">
      <c r="A11" s="121"/>
      <c r="B11" s="137"/>
      <c r="C11" s="123"/>
      <c r="D11" s="137"/>
      <c r="E11" s="124"/>
      <c r="F11" s="125"/>
      <c r="G11" s="126"/>
      <c r="H11" s="126"/>
      <c r="I11" s="126"/>
      <c r="J11" s="126"/>
      <c r="K11" s="117"/>
    </row>
    <row r="12" spans="1:11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</row>
    <row r="13" spans="1:11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</row>
    <row r="14" spans="1:11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</row>
    <row r="15" spans="1:11" ht="12.75">
      <c r="A15" s="152"/>
      <c r="B15" s="148"/>
      <c r="C15" s="148"/>
      <c r="D15" s="148"/>
      <c r="E15" s="148"/>
      <c r="F15" s="148"/>
      <c r="G15" s="148"/>
      <c r="H15" s="148"/>
      <c r="I15" s="148"/>
      <c r="J15" s="156"/>
      <c r="K15" s="117"/>
    </row>
    <row r="16" spans="1:11" ht="12.75">
      <c r="A16" s="176">
        <v>1</v>
      </c>
      <c r="B16" s="12" t="s">
        <v>202</v>
      </c>
      <c r="C16" s="770">
        <v>60</v>
      </c>
      <c r="D16" s="12" t="s">
        <v>87</v>
      </c>
      <c r="E16" s="175">
        <v>4</v>
      </c>
      <c r="F16" s="153" t="s">
        <v>89</v>
      </c>
      <c r="G16" s="170" t="s">
        <v>249</v>
      </c>
      <c r="H16" s="199">
        <f>E16</f>
        <v>4</v>
      </c>
      <c r="I16" s="350">
        <v>1999.33</v>
      </c>
      <c r="J16" s="177">
        <f>(+I16/C16)*H16</f>
        <v>133.29</v>
      </c>
      <c r="K16" s="173">
        <f>J16/J45</f>
        <v>0.1118</v>
      </c>
    </row>
    <row r="17" spans="1:11" ht="12.75">
      <c r="A17" s="760">
        <v>3</v>
      </c>
      <c r="B17" s="168" t="s">
        <v>198</v>
      </c>
      <c r="C17" s="770">
        <v>1</v>
      </c>
      <c r="D17" s="12" t="s">
        <v>87</v>
      </c>
      <c r="E17" s="159">
        <f>E16</f>
        <v>4</v>
      </c>
      <c r="F17" s="153" t="s">
        <v>100</v>
      </c>
      <c r="G17" s="116" t="s">
        <v>462</v>
      </c>
      <c r="H17" s="199">
        <f>A17/100</f>
        <v>0.03</v>
      </c>
      <c r="I17" s="755">
        <f>I16</f>
        <v>1999.33</v>
      </c>
      <c r="J17" s="177">
        <f>H17*I17*E17</f>
        <v>239.92</v>
      </c>
      <c r="K17" s="173">
        <f>J17/J45</f>
        <v>0.2012</v>
      </c>
    </row>
    <row r="18" spans="1:11" ht="12.75">
      <c r="A18" s="176">
        <v>1</v>
      </c>
      <c r="B18" s="12" t="s">
        <v>97</v>
      </c>
      <c r="C18" s="770">
        <v>1</v>
      </c>
      <c r="D18" s="12" t="s">
        <v>250</v>
      </c>
      <c r="E18" s="159">
        <v>1</v>
      </c>
      <c r="F18" s="153" t="s">
        <v>109</v>
      </c>
      <c r="G18" s="116" t="s">
        <v>251</v>
      </c>
      <c r="H18" s="166">
        <f>(+A18/C18)</f>
        <v>1</v>
      </c>
      <c r="I18" s="255">
        <v>3.18</v>
      </c>
      <c r="J18" s="177"/>
      <c r="K18" s="173"/>
    </row>
    <row r="19" spans="1:11" ht="12.75">
      <c r="A19" s="176">
        <v>22</v>
      </c>
      <c r="B19" s="12" t="s">
        <v>252</v>
      </c>
      <c r="C19" s="770">
        <v>8</v>
      </c>
      <c r="D19" s="12" t="s">
        <v>250</v>
      </c>
      <c r="E19" s="159">
        <f>E16</f>
        <v>4</v>
      </c>
      <c r="F19" s="153" t="s">
        <v>113</v>
      </c>
      <c r="G19" s="116" t="s">
        <v>253</v>
      </c>
      <c r="H19" s="159">
        <f>(+A19*C19)</f>
        <v>176</v>
      </c>
      <c r="I19" s="255">
        <v>3.18</v>
      </c>
      <c r="J19" s="177">
        <f>(+I19*H19)</f>
        <v>559.68</v>
      </c>
      <c r="K19" s="173">
        <f>J19/J45</f>
        <v>0.4692</v>
      </c>
    </row>
    <row r="20" spans="1:11" ht="12.75">
      <c r="A20" s="176"/>
      <c r="B20" s="12"/>
      <c r="C20" s="161"/>
      <c r="D20" s="12"/>
      <c r="E20" s="159"/>
      <c r="F20" s="153"/>
      <c r="G20" s="116"/>
      <c r="H20" s="754"/>
      <c r="I20" s="751"/>
      <c r="J20" s="380"/>
      <c r="K20" s="173"/>
    </row>
    <row r="21" spans="1:11" ht="12.75">
      <c r="A21" s="174"/>
      <c r="B21" s="148"/>
      <c r="C21" s="161"/>
      <c r="D21" s="148"/>
      <c r="E21" s="148"/>
      <c r="F21" s="170" t="s">
        <v>116</v>
      </c>
      <c r="G21" s="156" t="s">
        <v>445</v>
      </c>
      <c r="H21" s="749"/>
      <c r="I21" s="751"/>
      <c r="J21" s="380">
        <f>SUM(J16:J20)</f>
        <v>932.89</v>
      </c>
      <c r="K21" s="173"/>
    </row>
    <row r="22" spans="1:11" ht="12.75">
      <c r="A22" s="174"/>
      <c r="B22" s="148"/>
      <c r="C22" s="161"/>
      <c r="D22" s="148"/>
      <c r="E22" s="424"/>
      <c r="F22" s="170"/>
      <c r="G22" s="752"/>
      <c r="H22" s="753"/>
      <c r="I22" s="751"/>
      <c r="J22" s="750"/>
      <c r="K22" s="173"/>
    </row>
    <row r="23" spans="1:11" ht="12.75">
      <c r="A23" s="760">
        <v>2.5</v>
      </c>
      <c r="B23" s="168" t="s">
        <v>198</v>
      </c>
      <c r="C23" s="161"/>
      <c r="D23" s="12"/>
      <c r="E23" s="424"/>
      <c r="F23" s="170" t="s">
        <v>460</v>
      </c>
      <c r="G23" s="226" t="s">
        <v>448</v>
      </c>
      <c r="H23" s="186">
        <f>A23/100</f>
        <v>0.025</v>
      </c>
      <c r="I23" s="246">
        <f>J21</f>
        <v>932.89</v>
      </c>
      <c r="J23" s="172">
        <f>H23*I23</f>
        <v>23.32</v>
      </c>
      <c r="K23" s="173">
        <f>J23/J45</f>
        <v>0.0196</v>
      </c>
    </row>
    <row r="24" spans="1:11" ht="12.75">
      <c r="A24" s="152"/>
      <c r="B24" s="148"/>
      <c r="C24" s="179"/>
      <c r="D24" s="148"/>
      <c r="E24" s="148"/>
      <c r="F24" s="148"/>
      <c r="G24" s="148"/>
      <c r="H24" s="148"/>
      <c r="I24" s="179"/>
      <c r="J24" s="187"/>
      <c r="K24" s="173"/>
    </row>
    <row r="25" spans="1:11" ht="12.75">
      <c r="A25" s="141"/>
      <c r="B25" s="142"/>
      <c r="C25" s="144"/>
      <c r="D25" s="142"/>
      <c r="E25" s="142"/>
      <c r="F25" s="223" t="s">
        <v>120</v>
      </c>
      <c r="G25" s="218" t="s">
        <v>461</v>
      </c>
      <c r="H25" s="224"/>
      <c r="I25" s="224"/>
      <c r="J25" s="225">
        <f>SUM(J21:J24)</f>
        <v>956.21</v>
      </c>
      <c r="K25" s="196">
        <f>J25/J45</f>
        <v>0.8017</v>
      </c>
    </row>
    <row r="26" spans="1:11" ht="12.75">
      <c r="A26" s="197"/>
      <c r="B26" s="113"/>
      <c r="C26" s="113"/>
      <c r="D26" s="113"/>
      <c r="E26" s="113"/>
      <c r="F26" s="154"/>
      <c r="G26" s="154"/>
      <c r="H26" s="154"/>
      <c r="I26" s="154"/>
      <c r="J26" s="127"/>
      <c r="K26" s="228"/>
    </row>
    <row r="27" spans="1:11" ht="20.25">
      <c r="A27" s="229" t="s">
        <v>136</v>
      </c>
      <c r="B27" s="230"/>
      <c r="C27" s="230"/>
      <c r="D27" s="230"/>
      <c r="E27" s="230"/>
      <c r="F27" s="230"/>
      <c r="G27" s="230"/>
      <c r="H27" s="230"/>
      <c r="I27" s="230"/>
      <c r="J27" s="230"/>
      <c r="K27" s="192"/>
    </row>
    <row r="28" spans="1:11" ht="20.25">
      <c r="A28" s="197"/>
      <c r="B28" s="113"/>
      <c r="C28" s="113"/>
      <c r="D28" s="113"/>
      <c r="E28" s="113"/>
      <c r="F28" s="113"/>
      <c r="G28" s="155"/>
      <c r="H28" s="113"/>
      <c r="I28" s="113"/>
      <c r="J28" s="113"/>
      <c r="K28" s="97"/>
    </row>
    <row r="29" spans="1:11" ht="12.75">
      <c r="A29" s="188"/>
      <c r="B29" s="134"/>
      <c r="C29" s="133"/>
      <c r="D29" s="133"/>
      <c r="E29" s="133"/>
      <c r="F29" s="231"/>
      <c r="G29" s="182"/>
      <c r="H29" s="15"/>
      <c r="I29" s="135" t="s">
        <v>64</v>
      </c>
      <c r="J29" s="136"/>
      <c r="K29" s="117"/>
    </row>
    <row r="30" spans="1:11" ht="12.75">
      <c r="A30" s="197"/>
      <c r="B30" s="233"/>
      <c r="C30" s="12" t="s">
        <v>75</v>
      </c>
      <c r="D30" s="12" t="s">
        <v>67</v>
      </c>
      <c r="E30" s="12" t="s">
        <v>69</v>
      </c>
      <c r="F30" s="815" t="s">
        <v>70</v>
      </c>
      <c r="G30" s="816"/>
      <c r="H30" s="12" t="s">
        <v>71</v>
      </c>
      <c r="I30" s="12" t="s">
        <v>72</v>
      </c>
      <c r="J30" s="138" t="s">
        <v>73</v>
      </c>
      <c r="K30" s="117"/>
    </row>
    <row r="31" spans="1:11" ht="12.75">
      <c r="A31" s="197"/>
      <c r="B31" s="233"/>
      <c r="C31" s="142"/>
      <c r="D31" s="142"/>
      <c r="E31" s="142"/>
      <c r="F31" s="145"/>
      <c r="G31" s="126"/>
      <c r="H31" s="150"/>
      <c r="I31" s="144" t="s">
        <v>74</v>
      </c>
      <c r="J31" s="145"/>
      <c r="K31" s="234"/>
    </row>
    <row r="32" spans="1:11" ht="12.75">
      <c r="A32" s="197"/>
      <c r="B32" s="233"/>
      <c r="C32" s="148"/>
      <c r="D32" s="148"/>
      <c r="E32" s="153" t="s">
        <v>146</v>
      </c>
      <c r="F32" s="181" t="s">
        <v>246</v>
      </c>
      <c r="G32" s="106"/>
      <c r="H32" s="235"/>
      <c r="I32" s="161">
        <f>J25</f>
        <v>956.21</v>
      </c>
      <c r="J32" s="236">
        <f>J25</f>
        <v>956.21</v>
      </c>
      <c r="K32" s="117"/>
    </row>
    <row r="33" spans="1:11" ht="12.75">
      <c r="A33" s="197"/>
      <c r="B33" s="233"/>
      <c r="C33" s="706"/>
      <c r="D33" s="12"/>
      <c r="E33" s="153"/>
      <c r="F33" s="226"/>
      <c r="G33" s="227"/>
      <c r="H33" s="160"/>
      <c r="I33" s="179"/>
      <c r="J33" s="177"/>
      <c r="K33" s="173"/>
    </row>
    <row r="34" spans="1:11" ht="12.75">
      <c r="A34" s="197"/>
      <c r="B34" s="233"/>
      <c r="C34" s="237">
        <v>5.5</v>
      </c>
      <c r="D34" s="12" t="s">
        <v>51</v>
      </c>
      <c r="E34" s="153" t="s">
        <v>149</v>
      </c>
      <c r="F34" s="226" t="s">
        <v>138</v>
      </c>
      <c r="G34" s="227"/>
      <c r="H34" s="160">
        <f>(C34/100)</f>
        <v>0.055</v>
      </c>
      <c r="I34" s="179"/>
      <c r="J34" s="177">
        <f>(+J32*H34)</f>
        <v>52.59</v>
      </c>
      <c r="K34" s="173">
        <f>J34/J45</f>
        <v>0.0441</v>
      </c>
    </row>
    <row r="35" spans="1:13" ht="12.75">
      <c r="A35" s="197"/>
      <c r="B35" s="233"/>
      <c r="C35" s="161" t="s">
        <v>139</v>
      </c>
      <c r="D35" s="148"/>
      <c r="E35" s="148"/>
      <c r="F35" s="156"/>
      <c r="G35" s="113"/>
      <c r="H35" s="160"/>
      <c r="I35" s="161"/>
      <c r="J35" s="177"/>
      <c r="K35" s="238"/>
      <c r="M35" s="178"/>
    </row>
    <row r="36" spans="1:11" ht="12.75">
      <c r="A36" s="197"/>
      <c r="B36" s="233"/>
      <c r="C36" s="245"/>
      <c r="D36" s="148"/>
      <c r="E36" s="153" t="s">
        <v>152</v>
      </c>
      <c r="F36" s="226" t="s">
        <v>424</v>
      </c>
      <c r="G36" s="113"/>
      <c r="H36" s="160"/>
      <c r="I36" s="179"/>
      <c r="J36" s="177">
        <f>SUM(J32:J34)</f>
        <v>1008.8</v>
      </c>
      <c r="K36" s="173"/>
    </row>
    <row r="37" spans="1:11" ht="12.75">
      <c r="A37" s="197"/>
      <c r="B37" s="233"/>
      <c r="C37" s="161">
        <v>0</v>
      </c>
      <c r="D37" s="12" t="s">
        <v>51</v>
      </c>
      <c r="E37" s="153" t="s">
        <v>154</v>
      </c>
      <c r="F37" s="226" t="s">
        <v>142</v>
      </c>
      <c r="G37" s="227"/>
      <c r="H37" s="160">
        <f>(C37/100)</f>
        <v>0</v>
      </c>
      <c r="I37" s="246">
        <f>J36</f>
        <v>1008.8</v>
      </c>
      <c r="J37" s="177">
        <f>(+J36*H37)</f>
        <v>0</v>
      </c>
      <c r="K37" s="173">
        <f>J37/J45</f>
        <v>0</v>
      </c>
    </row>
    <row r="38" spans="1:11" ht="12.75">
      <c r="A38" s="197"/>
      <c r="B38" s="233"/>
      <c r="C38" s="161" t="s">
        <v>139</v>
      </c>
      <c r="D38" s="148"/>
      <c r="E38" s="148"/>
      <c r="F38" s="156"/>
      <c r="G38" s="113"/>
      <c r="H38" s="160"/>
      <c r="I38" s="161"/>
      <c r="J38" s="177"/>
      <c r="K38" s="238"/>
    </row>
    <row r="39" spans="1:11" ht="12.75">
      <c r="A39" s="197"/>
      <c r="B39" s="233"/>
      <c r="C39" s="161" t="s">
        <v>139</v>
      </c>
      <c r="D39" s="148"/>
      <c r="E39" s="153" t="s">
        <v>155</v>
      </c>
      <c r="F39" s="226" t="s">
        <v>425</v>
      </c>
      <c r="G39" s="113"/>
      <c r="H39" s="160"/>
      <c r="I39" s="179"/>
      <c r="J39" s="177">
        <f>SUM(J36:J37)</f>
        <v>1008.8</v>
      </c>
      <c r="K39" s="238"/>
    </row>
    <row r="40" spans="1:11" ht="12.75">
      <c r="A40" s="197"/>
      <c r="B40" s="233"/>
      <c r="C40" s="237">
        <v>9</v>
      </c>
      <c r="D40" s="12" t="s">
        <v>51</v>
      </c>
      <c r="E40" s="153" t="s">
        <v>156</v>
      </c>
      <c r="F40" s="226" t="s">
        <v>427</v>
      </c>
      <c r="G40" s="227"/>
      <c r="H40" s="160">
        <f>(C40/100)</f>
        <v>0.09</v>
      </c>
      <c r="I40" s="246">
        <f>J39</f>
        <v>1008.8</v>
      </c>
      <c r="J40" s="177">
        <f>(+J39*H40)</f>
        <v>90.79</v>
      </c>
      <c r="K40" s="173">
        <f>J40/J45</f>
        <v>0.0761</v>
      </c>
    </row>
    <row r="41" spans="1:11" ht="12.75">
      <c r="A41" s="197"/>
      <c r="B41" s="233"/>
      <c r="C41" s="161" t="s">
        <v>139</v>
      </c>
      <c r="D41" s="148"/>
      <c r="E41" s="148"/>
      <c r="F41" s="156"/>
      <c r="G41" s="113"/>
      <c r="H41" s="160"/>
      <c r="I41" s="179"/>
      <c r="J41" s="177"/>
      <c r="K41" s="238"/>
    </row>
    <row r="42" spans="1:11" ht="12.75">
      <c r="A42" s="197"/>
      <c r="B42" s="233"/>
      <c r="C42" s="161" t="s">
        <v>139</v>
      </c>
      <c r="D42" s="148"/>
      <c r="E42" s="153" t="s">
        <v>158</v>
      </c>
      <c r="F42" s="226" t="s">
        <v>162</v>
      </c>
      <c r="G42" s="113"/>
      <c r="H42" s="160"/>
      <c r="I42" s="179"/>
      <c r="J42" s="177">
        <f>SUM(J39:J40)</f>
        <v>1099.59</v>
      </c>
      <c r="K42" s="238"/>
    </row>
    <row r="43" spans="1:11" ht="12.75">
      <c r="A43" s="197"/>
      <c r="B43" s="233"/>
      <c r="C43" s="255">
        <f>(15%*C40)+(9%*C40)+3.65+2</f>
        <v>7.81</v>
      </c>
      <c r="D43" s="12" t="s">
        <v>51</v>
      </c>
      <c r="E43" s="153" t="s">
        <v>165</v>
      </c>
      <c r="F43" s="226" t="s">
        <v>151</v>
      </c>
      <c r="G43" s="227"/>
      <c r="H43" s="160">
        <f>(C43/100)</f>
        <v>0.0781</v>
      </c>
      <c r="I43" s="179"/>
      <c r="J43" s="177">
        <f>(+J45*H43)</f>
        <v>93.15</v>
      </c>
      <c r="K43" s="173">
        <f>J43/J45</f>
        <v>0.0781</v>
      </c>
    </row>
    <row r="44" spans="1:11" ht="12.75">
      <c r="A44" s="197"/>
      <c r="B44" s="233"/>
      <c r="C44" s="161" t="s">
        <v>139</v>
      </c>
      <c r="D44" s="148"/>
      <c r="E44" s="148"/>
      <c r="F44" s="156"/>
      <c r="G44" s="113"/>
      <c r="H44" s="179"/>
      <c r="I44" s="179"/>
      <c r="J44" s="177"/>
      <c r="K44" s="238"/>
    </row>
    <row r="45" spans="1:11" ht="13.5" thickBot="1">
      <c r="A45" s="197"/>
      <c r="B45" s="233"/>
      <c r="C45" s="161" t="s">
        <v>139</v>
      </c>
      <c r="D45" s="148"/>
      <c r="E45" s="264" t="s">
        <v>161</v>
      </c>
      <c r="F45" s="265" t="s">
        <v>426</v>
      </c>
      <c r="G45" s="266"/>
      <c r="H45" s="266"/>
      <c r="I45" s="266"/>
      <c r="J45" s="267">
        <f>J42/(1-H43)</f>
        <v>1192.74</v>
      </c>
      <c r="K45" s="268">
        <f>J45/J45</f>
        <v>1</v>
      </c>
    </row>
    <row r="46" spans="1:11" ht="12.75">
      <c r="A46" s="329" t="s">
        <v>217</v>
      </c>
      <c r="B46" s="330"/>
      <c r="C46" s="330"/>
      <c r="D46" s="330"/>
      <c r="E46" s="331">
        <v>8000</v>
      </c>
      <c r="F46" s="332" t="s">
        <v>218</v>
      </c>
      <c r="G46" s="333"/>
      <c r="H46" s="333"/>
      <c r="I46" s="333"/>
      <c r="J46" s="333"/>
      <c r="K46" s="334"/>
    </row>
    <row r="47" spans="1:11" ht="12.75">
      <c r="A47" s="335" t="s">
        <v>180</v>
      </c>
      <c r="B47" s="110"/>
      <c r="C47" s="110"/>
      <c r="D47" s="110"/>
      <c r="E47" s="336">
        <v>24</v>
      </c>
      <c r="F47" s="337"/>
      <c r="G47" s="102"/>
      <c r="H47" s="102"/>
      <c r="I47" s="102"/>
      <c r="J47" s="102"/>
      <c r="K47" s="338"/>
    </row>
    <row r="48" spans="1:11" ht="13.5" thickBot="1">
      <c r="A48" s="335" t="s">
        <v>219</v>
      </c>
      <c r="B48" s="110"/>
      <c r="C48" s="110"/>
      <c r="D48" s="110"/>
      <c r="E48" s="336">
        <f>E46*E47</f>
        <v>192000</v>
      </c>
      <c r="F48" s="339" t="s">
        <v>218</v>
      </c>
      <c r="G48" s="102"/>
      <c r="H48" s="102"/>
      <c r="I48" s="102"/>
      <c r="J48" s="102"/>
      <c r="K48" s="338"/>
    </row>
    <row r="49" spans="1:14" ht="20.25" thickBot="1">
      <c r="A49" s="352" t="s">
        <v>254</v>
      </c>
      <c r="B49" s="311"/>
      <c r="C49" s="311"/>
      <c r="D49" s="311"/>
      <c r="E49" s="340"/>
      <c r="F49" s="341">
        <f>J45</f>
        <v>1192.74</v>
      </c>
      <c r="G49" s="326" t="s">
        <v>437</v>
      </c>
      <c r="H49" s="340"/>
      <c r="I49" s="340"/>
      <c r="J49" s="779">
        <f>J45/E48</f>
        <v>0.006</v>
      </c>
      <c r="K49" s="366"/>
      <c r="N49" s="178"/>
    </row>
    <row r="51" ht="15.75">
      <c r="A51" s="69" t="s">
        <v>169</v>
      </c>
    </row>
    <row r="52" spans="8:9" ht="15">
      <c r="H52" s="11"/>
      <c r="I52" s="11"/>
    </row>
    <row r="53" spans="1:9" ht="15.75">
      <c r="A53" s="69" t="str">
        <f>'Trator de Esteira'!A61</f>
        <v>Patos de Minas-MG, 16 de Novembro de 2015.</v>
      </c>
      <c r="G53" s="13"/>
      <c r="H53" s="11"/>
      <c r="I53" s="11"/>
    </row>
    <row r="56" spans="1:6" ht="12">
      <c r="A56" s="13"/>
      <c r="F56" s="347"/>
    </row>
    <row r="60" spans="1:10" ht="12">
      <c r="A60" s="275"/>
      <c r="B60" s="275"/>
      <c r="C60" s="275"/>
      <c r="D60" s="275"/>
      <c r="E60" s="275"/>
      <c r="F60" s="275"/>
      <c r="G60" s="275"/>
      <c r="H60" s="275"/>
      <c r="I60" s="275"/>
      <c r="J60" s="275"/>
    </row>
    <row r="84" ht="2.25" customHeight="1"/>
    <row r="85" ht="12.75" customHeight="1"/>
    <row r="86" ht="0.75" customHeight="1"/>
    <row r="111" ht="12.75">
      <c r="L111" s="276"/>
    </row>
    <row r="112" ht="12.75">
      <c r="L112" s="276"/>
    </row>
    <row r="113" ht="12.75">
      <c r="L113" s="276"/>
    </row>
    <row r="114" ht="12.75">
      <c r="L114" s="276"/>
    </row>
    <row r="115" ht="12.75">
      <c r="L115" s="2"/>
    </row>
    <row r="116" spans="1:11" ht="12.75">
      <c r="A116" s="276"/>
      <c r="B116" s="276"/>
      <c r="C116" s="276"/>
      <c r="D116" s="276"/>
      <c r="E116" s="280"/>
      <c r="F116" s="280"/>
      <c r="G116" s="280"/>
      <c r="H116" s="280"/>
      <c r="I116" s="280"/>
      <c r="J116" s="280"/>
      <c r="K116" s="280"/>
    </row>
    <row r="117" spans="1:12" ht="12.75">
      <c r="A117" s="276"/>
      <c r="B117" s="276"/>
      <c r="C117" s="276"/>
      <c r="D117" s="276"/>
      <c r="E117" s="276"/>
      <c r="F117" s="276"/>
      <c r="G117" s="276"/>
      <c r="H117" s="276"/>
      <c r="I117" s="276"/>
      <c r="J117" s="281"/>
      <c r="K117" s="281"/>
      <c r="L117" s="178"/>
    </row>
    <row r="118" spans="1:11" ht="12.75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1:11" ht="12.75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</row>
    <row r="120" spans="1:11" ht="12.75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1:11" ht="12.75">
      <c r="A121" s="276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</row>
    <row r="122" spans="1:12" ht="12.75">
      <c r="A122" s="2"/>
      <c r="B122" s="2"/>
      <c r="C122" s="2"/>
      <c r="D122" s="2"/>
      <c r="E122" s="282"/>
      <c r="F122" s="2"/>
      <c r="G122" s="2"/>
      <c r="H122" s="2"/>
      <c r="I122" s="2"/>
      <c r="J122" s="2"/>
      <c r="K122" s="2"/>
      <c r="L122" s="4"/>
    </row>
    <row r="123" spans="1:12" ht="12.75">
      <c r="A123" s="2"/>
      <c r="B123" s="2"/>
      <c r="C123" s="2"/>
      <c r="D123" s="2"/>
      <c r="E123" s="283"/>
      <c r="F123" s="283"/>
      <c r="G123" s="283"/>
      <c r="H123" s="283"/>
      <c r="I123" s="2"/>
      <c r="J123" s="2"/>
      <c r="K123" s="2"/>
      <c r="L123" s="4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4"/>
    </row>
    <row r="125" spans="1:12" ht="12.75">
      <c r="A125" s="283"/>
      <c r="B125" s="283"/>
      <c r="C125" s="283"/>
      <c r="D125" s="283"/>
      <c r="E125" s="283"/>
      <c r="F125" s="283"/>
      <c r="G125" s="283"/>
      <c r="H125" s="283"/>
      <c r="I125" s="283"/>
      <c r="J125" s="283"/>
      <c r="K125" s="283"/>
      <c r="L125" s="4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1:12" ht="12.75">
      <c r="A128" s="2"/>
      <c r="B128" s="5"/>
      <c r="C128" s="2"/>
      <c r="D128" s="279"/>
      <c r="E128" s="2"/>
      <c r="F128" s="2"/>
      <c r="G128" s="2"/>
      <c r="H128" s="2"/>
      <c r="I128" s="2"/>
      <c r="J128" s="2"/>
      <c r="K128" s="2"/>
      <c r="L128" s="4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1:12" ht="12.75">
      <c r="A131" s="2"/>
      <c r="B131" s="5"/>
      <c r="C131" s="2"/>
      <c r="D131" s="279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1:12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">
      <c r="A134" s="4"/>
      <c r="B134" s="6"/>
      <c r="C134" s="4"/>
      <c r="D134" s="284"/>
      <c r="E134" s="4"/>
      <c r="F134" s="4"/>
      <c r="G134" s="4"/>
      <c r="H134" s="4"/>
      <c r="I134" s="4"/>
      <c r="J134" s="4"/>
      <c r="K134" s="4"/>
      <c r="L134" s="4"/>
    </row>
    <row r="135" spans="1:12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4"/>
    </row>
    <row r="138" spans="1:12" ht="12">
      <c r="A138" s="4"/>
      <c r="B138" s="4"/>
      <c r="C138" s="6"/>
      <c r="D138" s="4"/>
      <c r="E138" s="4"/>
      <c r="F138" s="4"/>
      <c r="G138" s="285"/>
      <c r="H138" s="285"/>
      <c r="L138" s="4"/>
    </row>
    <row r="139" spans="1:12" ht="12">
      <c r="A139" s="7"/>
      <c r="B139" s="7"/>
      <c r="C139" s="7"/>
      <c r="D139" s="7"/>
      <c r="E139" s="7"/>
      <c r="F139" s="7"/>
      <c r="G139" s="7"/>
      <c r="H139" s="7"/>
      <c r="L139" s="4"/>
    </row>
    <row r="140" spans="1:12" ht="12">
      <c r="A140" s="4"/>
      <c r="B140" s="4"/>
      <c r="C140" s="4"/>
      <c r="D140" s="4"/>
      <c r="E140" s="4"/>
      <c r="F140" s="4"/>
      <c r="G140" s="4"/>
      <c r="H140" s="4"/>
      <c r="L140" s="4"/>
    </row>
    <row r="141" spans="1:12" ht="12">
      <c r="A141" s="4"/>
      <c r="B141" s="4"/>
      <c r="C141" s="4"/>
      <c r="D141" s="4"/>
      <c r="E141" s="4"/>
      <c r="F141" s="4"/>
      <c r="G141" s="4"/>
      <c r="H141" s="4"/>
      <c r="L141" s="4"/>
    </row>
    <row r="142" spans="2:12" ht="12">
      <c r="B142" s="286"/>
      <c r="C142" s="287"/>
      <c r="G142" s="288"/>
      <c r="H142" s="287"/>
      <c r="L142" s="4"/>
    </row>
    <row r="143" spans="7:12" ht="12">
      <c r="G143" s="289"/>
      <c r="L143" s="4"/>
    </row>
    <row r="144" spans="7:12" ht="12">
      <c r="G144" s="289"/>
      <c r="L144" s="4"/>
    </row>
    <row r="145" spans="2:12" ht="12">
      <c r="B145" s="286"/>
      <c r="C145" s="287"/>
      <c r="G145" s="288"/>
      <c r="H145" s="287"/>
      <c r="L145" s="4"/>
    </row>
    <row r="146" spans="7:12" ht="12">
      <c r="G146" s="29"/>
      <c r="L146" s="4"/>
    </row>
    <row r="147" spans="7:12" ht="12">
      <c r="G147" s="29"/>
      <c r="L147" s="4"/>
    </row>
    <row r="148" spans="2:12" ht="12">
      <c r="B148" s="3"/>
      <c r="C148" s="290"/>
      <c r="G148" s="288"/>
      <c r="H148" s="287"/>
      <c r="L148" s="4"/>
    </row>
    <row r="149" spans="7:12" ht="12">
      <c r="G149" s="29"/>
      <c r="L149" s="4"/>
    </row>
    <row r="150" spans="7:12" ht="12">
      <c r="G150" s="29"/>
      <c r="L150" s="4"/>
    </row>
    <row r="151" spans="2:12" ht="12">
      <c r="B151" s="3"/>
      <c r="C151" s="291"/>
      <c r="G151" s="288"/>
      <c r="H151" s="292"/>
      <c r="L151" s="4"/>
    </row>
    <row r="152" spans="10:12" ht="12">
      <c r="J152" s="4"/>
      <c r="K152" s="4"/>
      <c r="L152" s="4"/>
    </row>
    <row r="153" spans="1:12" ht="12">
      <c r="A153" s="293"/>
      <c r="B153" s="293"/>
      <c r="C153" s="293"/>
      <c r="D153" s="293"/>
      <c r="E153" s="293"/>
      <c r="F153" s="293"/>
      <c r="G153" s="293"/>
      <c r="H153" s="293"/>
      <c r="I153" s="293"/>
      <c r="J153" s="7"/>
      <c r="K153" s="7"/>
      <c r="L153" s="4"/>
    </row>
    <row r="154" spans="10:12" ht="12">
      <c r="J154" s="4"/>
      <c r="K154" s="4"/>
      <c r="L154" s="4"/>
    </row>
    <row r="155" spans="2:12" ht="12">
      <c r="B155" s="286"/>
      <c r="D155" s="292"/>
      <c r="J155" s="4"/>
      <c r="K155" s="4"/>
      <c r="L155" s="4"/>
    </row>
    <row r="156" spans="10:12" ht="12">
      <c r="J156" s="4"/>
      <c r="K156" s="4"/>
      <c r="L156" s="4"/>
    </row>
    <row r="157" spans="1:12" ht="12">
      <c r="A157" s="293"/>
      <c r="B157" s="293"/>
      <c r="C157" s="293"/>
      <c r="D157" s="293"/>
      <c r="E157" s="293"/>
      <c r="F157" s="293"/>
      <c r="G157" s="293"/>
      <c r="H157" s="293"/>
      <c r="I157" s="293"/>
      <c r="J157" s="7"/>
      <c r="K157" s="7"/>
      <c r="L157" s="4"/>
    </row>
    <row r="158" spans="1:12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</sheetData>
  <sheetProtection password="F184" sheet="1"/>
  <mergeCells count="3">
    <mergeCell ref="A1:K1"/>
    <mergeCell ref="A5:J5"/>
    <mergeCell ref="F30:G30"/>
  </mergeCells>
  <printOptions horizontalCentered="1"/>
  <pageMargins left="0.5905511811023623" right="0" top="1.1811023622047245" bottom="0.1968503937007874" header="0.31496062992125984" footer="0.31496062992125984"/>
  <pageSetup horizontalDpi="600" verticalDpi="600" orientation="portrait" paperSize="9" scale="65" r:id="rId1"/>
  <headerFooter alignWithMargins="0">
    <oddHeader>&amp;CPágina &amp;P de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10">
      <selection activeCell="C38" sqref="C38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1.375" style="1" customWidth="1"/>
    <col min="8" max="8" width="13.125" style="1" customWidth="1"/>
    <col min="9" max="9" width="13.00390625" style="1" customWidth="1"/>
    <col min="10" max="10" width="12.375" style="1" customWidth="1"/>
    <col min="11" max="11" width="8.00390625" style="1" customWidth="1"/>
    <col min="12" max="12" width="0.875" style="1" customWidth="1"/>
    <col min="13" max="16384" width="11.00390625" style="1" customWidth="1"/>
  </cols>
  <sheetData>
    <row r="1" spans="1:11" ht="22.5" customHeight="1" thickBot="1">
      <c r="A1" s="817" t="s">
        <v>239</v>
      </c>
      <c r="B1" s="818"/>
      <c r="C1" s="818"/>
      <c r="D1" s="818"/>
      <c r="E1" s="818"/>
      <c r="F1" s="818"/>
      <c r="G1" s="818"/>
      <c r="H1" s="818"/>
      <c r="I1" s="818"/>
      <c r="J1" s="818"/>
      <c r="K1" s="819"/>
    </row>
    <row r="2" spans="1:11" ht="20.25">
      <c r="A2" s="85" t="s">
        <v>186</v>
      </c>
      <c r="B2" s="86"/>
      <c r="C2" s="87"/>
      <c r="D2" s="86"/>
      <c r="E2" s="86"/>
      <c r="F2" s="86"/>
      <c r="G2" s="88"/>
      <c r="H2" s="86"/>
      <c r="I2" s="86"/>
      <c r="J2" s="349"/>
      <c r="K2" s="89"/>
    </row>
    <row r="3" spans="1:11" ht="20.25">
      <c r="A3" s="94" t="s">
        <v>187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</row>
    <row r="4" spans="1:11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ht="20.25">
      <c r="A5" s="83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</row>
    <row r="6" spans="1:11" ht="12.75">
      <c r="A6" s="363"/>
      <c r="B6" s="110"/>
      <c r="C6" s="110"/>
      <c r="D6" s="110"/>
      <c r="E6" s="116"/>
      <c r="F6" s="110"/>
      <c r="G6" s="110"/>
      <c r="H6" s="110"/>
      <c r="I6" s="110"/>
      <c r="J6" s="110"/>
      <c r="K6" s="115"/>
    </row>
    <row r="7" spans="1:11" ht="12.75">
      <c r="A7" s="109" t="s">
        <v>240</v>
      </c>
      <c r="B7" s="110"/>
      <c r="C7" s="110"/>
      <c r="D7" s="110"/>
      <c r="E7" s="110"/>
      <c r="F7" s="110"/>
      <c r="G7" s="110"/>
      <c r="H7" s="110"/>
      <c r="I7" s="110"/>
      <c r="J7" s="110"/>
      <c r="K7" s="117"/>
    </row>
    <row r="8" spans="1:11" ht="12.75">
      <c r="A8" s="109"/>
      <c r="B8" s="110"/>
      <c r="C8" s="110"/>
      <c r="D8" s="110"/>
      <c r="E8" s="110"/>
      <c r="F8" s="110"/>
      <c r="G8" s="110"/>
      <c r="H8" s="110"/>
      <c r="I8" s="120"/>
      <c r="J8" s="110"/>
      <c r="K8" s="117"/>
    </row>
    <row r="9" spans="1:11" ht="15.75">
      <c r="A9" s="109" t="s">
        <v>60</v>
      </c>
      <c r="B9" s="111" t="s">
        <v>61</v>
      </c>
      <c r="C9" s="110"/>
      <c r="D9" s="110"/>
      <c r="E9" s="110"/>
      <c r="F9" s="110"/>
      <c r="G9" s="110"/>
      <c r="H9" s="110"/>
      <c r="I9" s="120"/>
      <c r="J9" s="110"/>
      <c r="K9" s="117"/>
    </row>
    <row r="10" spans="1:11" ht="12.75">
      <c r="A10" s="109"/>
      <c r="B10" s="110"/>
      <c r="C10" s="131"/>
      <c r="D10" s="110"/>
      <c r="E10" s="110"/>
      <c r="F10" s="110"/>
      <c r="G10" s="110"/>
      <c r="H10" s="110"/>
      <c r="I10" s="110"/>
      <c r="J10" s="110"/>
      <c r="K10" s="117"/>
    </row>
    <row r="11" spans="1:11" ht="12.75">
      <c r="A11" s="121"/>
      <c r="B11" s="137"/>
      <c r="C11" s="123"/>
      <c r="D11" s="137"/>
      <c r="E11" s="124"/>
      <c r="F11" s="125"/>
      <c r="G11" s="126"/>
      <c r="H11" s="126"/>
      <c r="I11" s="126"/>
      <c r="J11" s="126"/>
      <c r="K11" s="117"/>
    </row>
    <row r="12" spans="1:11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</row>
    <row r="13" spans="1:11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</row>
    <row r="14" spans="1:11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</row>
    <row r="15" spans="1:11" ht="12.75">
      <c r="A15" s="152"/>
      <c r="B15" s="148"/>
      <c r="C15" s="148"/>
      <c r="D15" s="148"/>
      <c r="E15" s="148"/>
      <c r="F15" s="148"/>
      <c r="G15" s="148"/>
      <c r="H15" s="148"/>
      <c r="I15" s="148"/>
      <c r="J15" s="156"/>
      <c r="K15" s="117"/>
    </row>
    <row r="16" spans="1:11" ht="12.75">
      <c r="A16" s="769">
        <v>2</v>
      </c>
      <c r="B16" s="12" t="s">
        <v>202</v>
      </c>
      <c r="C16" s="770">
        <v>6</v>
      </c>
      <c r="D16" s="12" t="s">
        <v>87</v>
      </c>
      <c r="E16" s="159">
        <v>12</v>
      </c>
      <c r="F16" s="153" t="s">
        <v>89</v>
      </c>
      <c r="G16" s="153" t="s">
        <v>241</v>
      </c>
      <c r="H16" s="159">
        <f aca="true" t="shared" si="0" ref="H16:H21">E16</f>
        <v>12</v>
      </c>
      <c r="I16" s="255">
        <v>15.91</v>
      </c>
      <c r="J16" s="177">
        <f aca="true" t="shared" si="1" ref="J16:J21">(+I16*H16)*A16/C16</f>
        <v>63.64</v>
      </c>
      <c r="K16" s="173">
        <f aca="true" t="shared" si="2" ref="K16:K21">J16/J$47</f>
        <v>0.027</v>
      </c>
    </row>
    <row r="17" spans="1:11" ht="12.75">
      <c r="A17" s="769">
        <v>1</v>
      </c>
      <c r="B17" s="12" t="s">
        <v>202</v>
      </c>
      <c r="C17" s="770">
        <v>12</v>
      </c>
      <c r="D17" s="12" t="s">
        <v>87</v>
      </c>
      <c r="E17" s="159">
        <f>E16</f>
        <v>12</v>
      </c>
      <c r="F17" s="153" t="s">
        <v>100</v>
      </c>
      <c r="G17" s="153" t="s">
        <v>242</v>
      </c>
      <c r="H17" s="159">
        <f t="shared" si="0"/>
        <v>12</v>
      </c>
      <c r="I17" s="255">
        <v>19.9</v>
      </c>
      <c r="J17" s="177">
        <f t="shared" si="1"/>
        <v>19.9</v>
      </c>
      <c r="K17" s="173">
        <f t="shared" si="2"/>
        <v>0.0084</v>
      </c>
    </row>
    <row r="18" spans="1:11" ht="12.75">
      <c r="A18" s="769">
        <v>4</v>
      </c>
      <c r="B18" s="12" t="s">
        <v>202</v>
      </c>
      <c r="C18" s="770">
        <v>6</v>
      </c>
      <c r="D18" s="12" t="s">
        <v>87</v>
      </c>
      <c r="E18" s="159">
        <f>E17</f>
        <v>12</v>
      </c>
      <c r="F18" s="153" t="s">
        <v>109</v>
      </c>
      <c r="G18" s="153" t="s">
        <v>243</v>
      </c>
      <c r="H18" s="159">
        <f t="shared" si="0"/>
        <v>12</v>
      </c>
      <c r="I18" s="255">
        <v>9.14</v>
      </c>
      <c r="J18" s="177">
        <f t="shared" si="1"/>
        <v>73.12</v>
      </c>
      <c r="K18" s="173">
        <f t="shared" si="2"/>
        <v>0.031</v>
      </c>
    </row>
    <row r="19" spans="1:11" ht="12.75">
      <c r="A19" s="769">
        <v>6</v>
      </c>
      <c r="B19" s="12" t="s">
        <v>202</v>
      </c>
      <c r="C19" s="770">
        <v>1</v>
      </c>
      <c r="D19" s="12" t="s">
        <v>87</v>
      </c>
      <c r="E19" s="159">
        <f>E18</f>
        <v>12</v>
      </c>
      <c r="F19" s="153" t="s">
        <v>113</v>
      </c>
      <c r="G19" s="153" t="s">
        <v>244</v>
      </c>
      <c r="H19" s="159">
        <f t="shared" si="0"/>
        <v>12</v>
      </c>
      <c r="I19" s="255">
        <v>4.8</v>
      </c>
      <c r="J19" s="177">
        <f t="shared" si="1"/>
        <v>345.6</v>
      </c>
      <c r="K19" s="173">
        <f t="shared" si="2"/>
        <v>0.1464</v>
      </c>
    </row>
    <row r="20" spans="1:11" ht="12.75">
      <c r="A20" s="769">
        <v>6</v>
      </c>
      <c r="B20" s="12" t="s">
        <v>202</v>
      </c>
      <c r="C20" s="770">
        <v>1</v>
      </c>
      <c r="D20" s="12" t="s">
        <v>87</v>
      </c>
      <c r="E20" s="159">
        <f>E19</f>
        <v>12</v>
      </c>
      <c r="F20" s="153" t="s">
        <v>116</v>
      </c>
      <c r="G20" s="153" t="s">
        <v>506</v>
      </c>
      <c r="H20" s="159">
        <f t="shared" si="0"/>
        <v>12</v>
      </c>
      <c r="I20" s="255">
        <v>3.5</v>
      </c>
      <c r="J20" s="177">
        <f t="shared" si="1"/>
        <v>252</v>
      </c>
      <c r="K20" s="173">
        <f t="shared" si="2"/>
        <v>0.1068</v>
      </c>
    </row>
    <row r="21" spans="1:11" ht="12.75">
      <c r="A21" s="769">
        <v>24</v>
      </c>
      <c r="B21" s="12" t="s">
        <v>202</v>
      </c>
      <c r="C21" s="770">
        <v>1</v>
      </c>
      <c r="D21" s="12" t="s">
        <v>87</v>
      </c>
      <c r="E21" s="159">
        <f>E16</f>
        <v>12</v>
      </c>
      <c r="F21" s="153" t="s">
        <v>120</v>
      </c>
      <c r="G21" s="153" t="s">
        <v>245</v>
      </c>
      <c r="H21" s="159">
        <f t="shared" si="0"/>
        <v>12</v>
      </c>
      <c r="I21" s="255">
        <v>3.79</v>
      </c>
      <c r="J21" s="177">
        <f t="shared" si="1"/>
        <v>1091.52</v>
      </c>
      <c r="K21" s="173">
        <f t="shared" si="2"/>
        <v>0.4625</v>
      </c>
    </row>
    <row r="22" spans="1:11" ht="12.75">
      <c r="A22" s="176"/>
      <c r="B22" s="12"/>
      <c r="C22" s="161"/>
      <c r="D22" s="12"/>
      <c r="E22" s="159"/>
      <c r="F22" s="153"/>
      <c r="G22" s="153"/>
      <c r="H22" s="754"/>
      <c r="I22" s="751"/>
      <c r="J22" s="380"/>
      <c r="K22" s="173"/>
    </row>
    <row r="23" spans="1:11" ht="12.75">
      <c r="A23" s="174"/>
      <c r="B23" s="148"/>
      <c r="C23" s="161"/>
      <c r="D23" s="148"/>
      <c r="E23" s="148"/>
      <c r="F23" s="170" t="s">
        <v>125</v>
      </c>
      <c r="G23" s="156" t="s">
        <v>445</v>
      </c>
      <c r="H23" s="749"/>
      <c r="I23" s="751"/>
      <c r="J23" s="380">
        <f>SUM(J16:J21)</f>
        <v>1845.78</v>
      </c>
      <c r="K23" s="173"/>
    </row>
    <row r="24" spans="1:11" ht="12.75">
      <c r="A24" s="174"/>
      <c r="B24" s="148"/>
      <c r="C24" s="161"/>
      <c r="D24" s="148"/>
      <c r="E24" s="424"/>
      <c r="F24" s="170"/>
      <c r="G24" s="752"/>
      <c r="H24" s="753"/>
      <c r="I24" s="751"/>
      <c r="J24" s="750"/>
      <c r="K24" s="173"/>
    </row>
    <row r="25" spans="1:11" ht="12.75">
      <c r="A25" s="760">
        <v>2.5</v>
      </c>
      <c r="B25" s="168" t="s">
        <v>198</v>
      </c>
      <c r="C25" s="161"/>
      <c r="D25" s="12"/>
      <c r="E25" s="424"/>
      <c r="F25" s="170" t="s">
        <v>446</v>
      </c>
      <c r="G25" s="226" t="s">
        <v>448</v>
      </c>
      <c r="H25" s="186">
        <f>A25/100</f>
        <v>0.025</v>
      </c>
      <c r="I25" s="246">
        <f>J23</f>
        <v>1845.78</v>
      </c>
      <c r="J25" s="172">
        <f>H25*I25</f>
        <v>46.14</v>
      </c>
      <c r="K25" s="173">
        <f>J25/J$47</f>
        <v>0.0196</v>
      </c>
    </row>
    <row r="26" spans="1:11" ht="12.75">
      <c r="A26" s="152"/>
      <c r="B26" s="148"/>
      <c r="C26" s="179"/>
      <c r="D26" s="148"/>
      <c r="E26" s="148"/>
      <c r="F26" s="148"/>
      <c r="G26" s="148"/>
      <c r="H26" s="148"/>
      <c r="I26" s="179"/>
      <c r="J26" s="187"/>
      <c r="K26" s="173"/>
    </row>
    <row r="27" spans="1:11" ht="12.75">
      <c r="A27" s="141"/>
      <c r="B27" s="142"/>
      <c r="C27" s="144"/>
      <c r="D27" s="142"/>
      <c r="E27" s="142"/>
      <c r="F27" s="223" t="s">
        <v>132</v>
      </c>
      <c r="G27" s="218" t="s">
        <v>447</v>
      </c>
      <c r="H27" s="224"/>
      <c r="I27" s="224"/>
      <c r="J27" s="225">
        <f>SUM(J23:J25)</f>
        <v>1891.92</v>
      </c>
      <c r="K27" s="196">
        <f>J27/J$47</f>
        <v>0.8017</v>
      </c>
    </row>
    <row r="28" spans="1:11" ht="12.75">
      <c r="A28" s="197"/>
      <c r="B28" s="113"/>
      <c r="C28" s="113"/>
      <c r="D28" s="113"/>
      <c r="E28" s="113"/>
      <c r="F28" s="154"/>
      <c r="G28" s="154"/>
      <c r="H28" s="154"/>
      <c r="I28" s="154"/>
      <c r="J28" s="127"/>
      <c r="K28" s="228"/>
    </row>
    <row r="29" spans="1:11" ht="20.25">
      <c r="A29" s="229" t="s">
        <v>136</v>
      </c>
      <c r="B29" s="230"/>
      <c r="C29" s="230"/>
      <c r="D29" s="230"/>
      <c r="E29" s="230"/>
      <c r="F29" s="230"/>
      <c r="G29" s="230"/>
      <c r="H29" s="230"/>
      <c r="I29" s="230"/>
      <c r="J29" s="230"/>
      <c r="K29" s="192"/>
    </row>
    <row r="30" spans="1:11" ht="20.25">
      <c r="A30" s="197"/>
      <c r="B30" s="113"/>
      <c r="C30" s="113"/>
      <c r="D30" s="113"/>
      <c r="E30" s="113"/>
      <c r="F30" s="113"/>
      <c r="G30" s="155"/>
      <c r="H30" s="113"/>
      <c r="I30" s="113"/>
      <c r="J30" s="113"/>
      <c r="K30" s="97"/>
    </row>
    <row r="31" spans="1:11" ht="12.75">
      <c r="A31" s="188"/>
      <c r="B31" s="134"/>
      <c r="C31" s="133"/>
      <c r="D31" s="133"/>
      <c r="E31" s="133"/>
      <c r="F31" s="231"/>
      <c r="G31" s="182"/>
      <c r="H31" s="15"/>
      <c r="I31" s="135" t="s">
        <v>64</v>
      </c>
      <c r="J31" s="136"/>
      <c r="K31" s="117"/>
    </row>
    <row r="32" spans="1:11" ht="12.75">
      <c r="A32" s="197"/>
      <c r="B32" s="233"/>
      <c r="C32" s="12" t="s">
        <v>75</v>
      </c>
      <c r="D32" s="12" t="s">
        <v>67</v>
      </c>
      <c r="E32" s="12" t="s">
        <v>69</v>
      </c>
      <c r="F32" s="815" t="s">
        <v>70</v>
      </c>
      <c r="G32" s="816"/>
      <c r="H32" s="12" t="s">
        <v>71</v>
      </c>
      <c r="I32" s="12" t="s">
        <v>72</v>
      </c>
      <c r="J32" s="138" t="s">
        <v>73</v>
      </c>
      <c r="K32" s="117"/>
    </row>
    <row r="33" spans="1:11" ht="12.75">
      <c r="A33" s="197"/>
      <c r="B33" s="233"/>
      <c r="C33" s="142"/>
      <c r="D33" s="142"/>
      <c r="E33" s="142"/>
      <c r="F33" s="145"/>
      <c r="G33" s="126"/>
      <c r="H33" s="150"/>
      <c r="I33" s="144" t="s">
        <v>74</v>
      </c>
      <c r="J33" s="145"/>
      <c r="K33" s="234"/>
    </row>
    <row r="34" spans="1:11" ht="12.75">
      <c r="A34" s="197"/>
      <c r="B34" s="233"/>
      <c r="C34" s="148"/>
      <c r="D34" s="148"/>
      <c r="E34" s="153" t="s">
        <v>146</v>
      </c>
      <c r="F34" s="181" t="s">
        <v>147</v>
      </c>
      <c r="G34" s="106"/>
      <c r="H34" s="235"/>
      <c r="I34" s="161">
        <f>J27</f>
        <v>1891.92</v>
      </c>
      <c r="J34" s="236">
        <f>J27</f>
        <v>1891.92</v>
      </c>
      <c r="K34" s="117"/>
    </row>
    <row r="35" spans="1:11" ht="12.75">
      <c r="A35" s="197"/>
      <c r="B35" s="233"/>
      <c r="C35" s="706"/>
      <c r="D35" s="12"/>
      <c r="E35" s="153"/>
      <c r="F35" s="226"/>
      <c r="G35" s="227"/>
      <c r="H35" s="160"/>
      <c r="I35" s="179"/>
      <c r="J35" s="177"/>
      <c r="K35" s="173"/>
    </row>
    <row r="36" spans="1:11" ht="12.75">
      <c r="A36" s="197"/>
      <c r="B36" s="233"/>
      <c r="C36" s="237">
        <v>5.5</v>
      </c>
      <c r="D36" s="12" t="s">
        <v>51</v>
      </c>
      <c r="E36" s="153" t="s">
        <v>149</v>
      </c>
      <c r="F36" s="226" t="s">
        <v>138</v>
      </c>
      <c r="G36" s="227"/>
      <c r="H36" s="160">
        <f>(C36/100)</f>
        <v>0.055</v>
      </c>
      <c r="I36" s="179"/>
      <c r="J36" s="177">
        <f>(+J34*H36)</f>
        <v>104.06</v>
      </c>
      <c r="K36" s="173">
        <f>J36/J47</f>
        <v>0.0441</v>
      </c>
    </row>
    <row r="37" spans="1:13" ht="12.75">
      <c r="A37" s="197"/>
      <c r="B37" s="233"/>
      <c r="C37" s="161" t="s">
        <v>139</v>
      </c>
      <c r="D37" s="148"/>
      <c r="E37" s="148"/>
      <c r="F37" s="156"/>
      <c r="G37" s="113"/>
      <c r="H37" s="160"/>
      <c r="I37" s="161"/>
      <c r="J37" s="177"/>
      <c r="K37" s="238"/>
      <c r="M37" s="178"/>
    </row>
    <row r="38" spans="1:11" ht="12.75">
      <c r="A38" s="197"/>
      <c r="B38" s="233"/>
      <c r="C38" s="245"/>
      <c r="D38" s="148"/>
      <c r="E38" s="153" t="s">
        <v>152</v>
      </c>
      <c r="F38" s="226" t="s">
        <v>424</v>
      </c>
      <c r="G38" s="113"/>
      <c r="H38" s="160"/>
      <c r="I38" s="179"/>
      <c r="J38" s="177">
        <f>SUM(J34:J36)</f>
        <v>1995.98</v>
      </c>
      <c r="K38" s="173"/>
    </row>
    <row r="39" spans="1:11" ht="12.75">
      <c r="A39" s="197"/>
      <c r="B39" s="233"/>
      <c r="C39" s="161">
        <v>0</v>
      </c>
      <c r="D39" s="12" t="s">
        <v>51</v>
      </c>
      <c r="E39" s="153" t="s">
        <v>154</v>
      </c>
      <c r="F39" s="226" t="s">
        <v>142</v>
      </c>
      <c r="G39" s="227"/>
      <c r="H39" s="160">
        <f>(C39/100)</f>
        <v>0</v>
      </c>
      <c r="I39" s="246">
        <f>J38</f>
        <v>1995.98</v>
      </c>
      <c r="J39" s="177">
        <f>(+J38*H39)</f>
        <v>0</v>
      </c>
      <c r="K39" s="173">
        <f>J39/J47</f>
        <v>0</v>
      </c>
    </row>
    <row r="40" spans="1:11" ht="12.75">
      <c r="A40" s="197"/>
      <c r="B40" s="233"/>
      <c r="C40" s="161" t="s">
        <v>139</v>
      </c>
      <c r="D40" s="148"/>
      <c r="E40" s="148"/>
      <c r="F40" s="156"/>
      <c r="G40" s="113"/>
      <c r="H40" s="160"/>
      <c r="I40" s="161"/>
      <c r="J40" s="177"/>
      <c r="K40" s="238"/>
    </row>
    <row r="41" spans="1:11" ht="12.75">
      <c r="A41" s="197"/>
      <c r="B41" s="233"/>
      <c r="C41" s="161" t="s">
        <v>139</v>
      </c>
      <c r="D41" s="148"/>
      <c r="E41" s="153" t="s">
        <v>155</v>
      </c>
      <c r="F41" s="226" t="s">
        <v>425</v>
      </c>
      <c r="G41" s="113"/>
      <c r="H41" s="160"/>
      <c r="I41" s="179"/>
      <c r="J41" s="177">
        <f>SUM(J38:J39)</f>
        <v>1995.98</v>
      </c>
      <c r="K41" s="238"/>
    </row>
    <row r="42" spans="1:11" ht="12.75">
      <c r="A42" s="197"/>
      <c r="B42" s="233"/>
      <c r="C42" s="237">
        <v>9</v>
      </c>
      <c r="D42" s="12" t="s">
        <v>51</v>
      </c>
      <c r="E42" s="153" t="s">
        <v>156</v>
      </c>
      <c r="F42" s="226" t="s">
        <v>427</v>
      </c>
      <c r="G42" s="227"/>
      <c r="H42" s="160">
        <f>(C42/100)</f>
        <v>0.09</v>
      </c>
      <c r="I42" s="246">
        <f>J41</f>
        <v>1995.98</v>
      </c>
      <c r="J42" s="177">
        <f>(+J41*H42)</f>
        <v>179.64</v>
      </c>
      <c r="K42" s="173">
        <f>J42/J47</f>
        <v>0.0761</v>
      </c>
    </row>
    <row r="43" spans="1:11" ht="12.75">
      <c r="A43" s="197"/>
      <c r="B43" s="233"/>
      <c r="C43" s="161" t="s">
        <v>139</v>
      </c>
      <c r="D43" s="148"/>
      <c r="E43" s="148"/>
      <c r="F43" s="156"/>
      <c r="G43" s="113"/>
      <c r="H43" s="160"/>
      <c r="I43" s="179"/>
      <c r="J43" s="177"/>
      <c r="K43" s="238"/>
    </row>
    <row r="44" spans="1:11" ht="12.75">
      <c r="A44" s="197"/>
      <c r="B44" s="233"/>
      <c r="C44" s="161" t="s">
        <v>139</v>
      </c>
      <c r="D44" s="148"/>
      <c r="E44" s="153" t="s">
        <v>158</v>
      </c>
      <c r="F44" s="226" t="s">
        <v>162</v>
      </c>
      <c r="G44" s="113"/>
      <c r="H44" s="160"/>
      <c r="I44" s="179"/>
      <c r="J44" s="177">
        <f>SUM(J41:J42)</f>
        <v>2175.62</v>
      </c>
      <c r="K44" s="238"/>
    </row>
    <row r="45" spans="1:11" ht="12.75">
      <c r="A45" s="197"/>
      <c r="B45" s="233"/>
      <c r="C45" s="255">
        <f>(15%*C42)+(9%*C42)+3.65+2</f>
        <v>7.81</v>
      </c>
      <c r="D45" s="12" t="s">
        <v>51</v>
      </c>
      <c r="E45" s="153" t="s">
        <v>165</v>
      </c>
      <c r="F45" s="226" t="s">
        <v>151</v>
      </c>
      <c r="G45" s="227"/>
      <c r="H45" s="160">
        <f>(C45/100)</f>
        <v>0.0781</v>
      </c>
      <c r="I45" s="179"/>
      <c r="J45" s="177">
        <f>(+J47*H45)</f>
        <v>184.31</v>
      </c>
      <c r="K45" s="173">
        <f>J45/J47</f>
        <v>0.0781</v>
      </c>
    </row>
    <row r="46" spans="1:11" ht="12" customHeight="1">
      <c r="A46" s="197"/>
      <c r="B46" s="233"/>
      <c r="C46" s="161" t="s">
        <v>139</v>
      </c>
      <c r="D46" s="148"/>
      <c r="E46" s="148"/>
      <c r="F46" s="156"/>
      <c r="G46" s="113"/>
      <c r="H46" s="179"/>
      <c r="I46" s="179"/>
      <c r="J46" s="177"/>
      <c r="K46" s="238"/>
    </row>
    <row r="47" spans="1:11" ht="16.5" thickBot="1">
      <c r="A47" s="260"/>
      <c r="B47" s="261"/>
      <c r="C47" s="262" t="s">
        <v>139</v>
      </c>
      <c r="D47" s="263"/>
      <c r="E47" s="264" t="s">
        <v>161</v>
      </c>
      <c r="F47" s="265" t="s">
        <v>426</v>
      </c>
      <c r="G47" s="266"/>
      <c r="H47" s="266"/>
      <c r="I47" s="266"/>
      <c r="J47" s="357">
        <f>J44/(1-H45)</f>
        <v>2359.93</v>
      </c>
      <c r="K47" s="268">
        <f>J47/J47</f>
        <v>1</v>
      </c>
    </row>
    <row r="48" spans="1:11" ht="12.75">
      <c r="A48" s="359"/>
      <c r="B48" s="359"/>
      <c r="C48" s="360"/>
      <c r="D48" s="359"/>
      <c r="E48" s="361"/>
      <c r="F48" s="361"/>
      <c r="G48" s="359"/>
      <c r="H48" s="359"/>
      <c r="I48" s="359"/>
      <c r="J48" s="360"/>
      <c r="K48" s="362"/>
    </row>
    <row r="49" spans="1:11" ht="15.75">
      <c r="A49" s="69" t="s">
        <v>169</v>
      </c>
      <c r="H49" s="359"/>
      <c r="I49" s="359"/>
      <c r="J49" s="360"/>
      <c r="K49" s="362"/>
    </row>
    <row r="51" spans="1:9" ht="15.75">
      <c r="A51" s="69" t="str">
        <f>'Trator de Esteira'!A61</f>
        <v>Patos de Minas-MG, 16 de Novembro de 2015.</v>
      </c>
      <c r="G51" s="13"/>
      <c r="H51" s="11"/>
      <c r="I51" s="11"/>
    </row>
    <row r="52" spans="7:9" ht="15">
      <c r="G52" s="11"/>
      <c r="H52" s="11"/>
      <c r="I52" s="11"/>
    </row>
    <row r="55" spans="1:6" ht="12">
      <c r="A55" s="13"/>
      <c r="F55" s="347"/>
    </row>
    <row r="59" spans="1:10" ht="12">
      <c r="A59" s="275"/>
      <c r="B59" s="275"/>
      <c r="C59" s="275"/>
      <c r="D59" s="275"/>
      <c r="E59" s="275"/>
      <c r="F59" s="275"/>
      <c r="G59" s="275"/>
      <c r="H59" s="275"/>
      <c r="I59" s="275"/>
      <c r="J59" s="275"/>
    </row>
    <row r="83" ht="2.25" customHeight="1"/>
    <row r="84" ht="12.75" customHeight="1"/>
    <row r="85" ht="0.75" customHeight="1"/>
    <row r="110" ht="12.75">
      <c r="L110" s="276"/>
    </row>
    <row r="111" ht="12.75">
      <c r="L111" s="276"/>
    </row>
    <row r="112" ht="12.75">
      <c r="L112" s="276"/>
    </row>
    <row r="113" ht="12.75">
      <c r="L113" s="276"/>
    </row>
    <row r="114" ht="12.75">
      <c r="L114" s="2"/>
    </row>
    <row r="115" spans="1:11" ht="12.75">
      <c r="A115" s="276"/>
      <c r="B115" s="276"/>
      <c r="C115" s="276"/>
      <c r="D115" s="276"/>
      <c r="E115" s="280"/>
      <c r="F115" s="280"/>
      <c r="G115" s="280"/>
      <c r="H115" s="280"/>
      <c r="I115" s="280"/>
      <c r="J115" s="280"/>
      <c r="K115" s="280"/>
    </row>
    <row r="116" spans="1:12" ht="12.75">
      <c r="A116" s="276"/>
      <c r="B116" s="276"/>
      <c r="C116" s="276"/>
      <c r="D116" s="276"/>
      <c r="E116" s="276"/>
      <c r="F116" s="276"/>
      <c r="G116" s="276"/>
      <c r="H116" s="276"/>
      <c r="I116" s="276"/>
      <c r="J116" s="281"/>
      <c r="K116" s="281"/>
      <c r="L116" s="178"/>
    </row>
    <row r="117" spans="1:11" ht="12.75">
      <c r="A117" s="276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</row>
    <row r="118" spans="1:11" ht="12.75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1:11" ht="12.75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</row>
    <row r="120" spans="1:11" ht="12.75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1:12" ht="12.75">
      <c r="A121" s="2"/>
      <c r="B121" s="2"/>
      <c r="C121" s="2"/>
      <c r="D121" s="2"/>
      <c r="E121" s="282"/>
      <c r="F121" s="2"/>
      <c r="G121" s="2"/>
      <c r="H121" s="2"/>
      <c r="I121" s="2"/>
      <c r="J121" s="2"/>
      <c r="K121" s="2"/>
      <c r="L121" s="4"/>
    </row>
    <row r="122" spans="1:12" ht="12.75">
      <c r="A122" s="2"/>
      <c r="B122" s="2"/>
      <c r="C122" s="2"/>
      <c r="D122" s="2"/>
      <c r="E122" s="283"/>
      <c r="F122" s="283"/>
      <c r="G122" s="283"/>
      <c r="H122" s="283"/>
      <c r="I122" s="2"/>
      <c r="J122" s="2"/>
      <c r="K122" s="2"/>
      <c r="L122" s="4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4"/>
    </row>
    <row r="124" spans="1:12" ht="12.75">
      <c r="A124" s="283"/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4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4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"/>
    </row>
    <row r="127" spans="1:12" ht="12.75">
      <c r="A127" s="2"/>
      <c r="B127" s="5"/>
      <c r="C127" s="2"/>
      <c r="D127" s="279"/>
      <c r="E127" s="2"/>
      <c r="F127" s="2"/>
      <c r="G127" s="2"/>
      <c r="H127" s="2"/>
      <c r="I127" s="2"/>
      <c r="J127" s="2"/>
      <c r="K127" s="2"/>
      <c r="L127" s="4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1:12" ht="12.75">
      <c r="A130" s="2"/>
      <c r="B130" s="5"/>
      <c r="C130" s="2"/>
      <c r="D130" s="279"/>
      <c r="E130" s="2"/>
      <c r="F130" s="2"/>
      <c r="G130" s="2"/>
      <c r="H130" s="2"/>
      <c r="I130" s="2"/>
      <c r="J130" s="2"/>
      <c r="K130" s="2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">
      <c r="A133" s="4"/>
      <c r="B133" s="6"/>
      <c r="C133" s="4"/>
      <c r="D133" s="284"/>
      <c r="E133" s="4"/>
      <c r="F133" s="4"/>
      <c r="G133" s="4"/>
      <c r="H133" s="4"/>
      <c r="I133" s="4"/>
      <c r="J133" s="4"/>
      <c r="K133" s="4"/>
      <c r="L133" s="4"/>
    </row>
    <row r="134" spans="1:12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4"/>
    </row>
    <row r="137" spans="1:12" ht="12">
      <c r="A137" s="4"/>
      <c r="B137" s="4"/>
      <c r="C137" s="6"/>
      <c r="D137" s="4"/>
      <c r="E137" s="4"/>
      <c r="F137" s="4"/>
      <c r="G137" s="285"/>
      <c r="H137" s="285"/>
      <c r="L137" s="4"/>
    </row>
    <row r="138" spans="1:12" ht="12">
      <c r="A138" s="7"/>
      <c r="B138" s="7"/>
      <c r="C138" s="7"/>
      <c r="D138" s="7"/>
      <c r="E138" s="7"/>
      <c r="F138" s="7"/>
      <c r="G138" s="7"/>
      <c r="H138" s="7"/>
      <c r="L138" s="4"/>
    </row>
    <row r="139" spans="1:12" ht="12">
      <c r="A139" s="4"/>
      <c r="B139" s="4"/>
      <c r="C139" s="4"/>
      <c r="D139" s="4"/>
      <c r="E139" s="4"/>
      <c r="F139" s="4"/>
      <c r="G139" s="4"/>
      <c r="H139" s="4"/>
      <c r="L139" s="4"/>
    </row>
    <row r="140" spans="1:12" ht="12">
      <c r="A140" s="4"/>
      <c r="B140" s="4"/>
      <c r="C140" s="4"/>
      <c r="D140" s="4"/>
      <c r="E140" s="4"/>
      <c r="F140" s="4"/>
      <c r="G140" s="4"/>
      <c r="H140" s="4"/>
      <c r="L140" s="4"/>
    </row>
    <row r="141" spans="2:12" ht="12">
      <c r="B141" s="286"/>
      <c r="C141" s="287"/>
      <c r="G141" s="288"/>
      <c r="H141" s="287"/>
      <c r="L141" s="4"/>
    </row>
    <row r="142" spans="7:12" ht="12">
      <c r="G142" s="289"/>
      <c r="L142" s="4"/>
    </row>
    <row r="143" spans="7:12" ht="12">
      <c r="G143" s="289"/>
      <c r="L143" s="4"/>
    </row>
    <row r="144" spans="2:12" ht="12">
      <c r="B144" s="286"/>
      <c r="C144" s="287"/>
      <c r="G144" s="288"/>
      <c r="H144" s="287"/>
      <c r="L144" s="4"/>
    </row>
    <row r="145" spans="7:12" ht="12">
      <c r="G145" s="29"/>
      <c r="L145" s="4"/>
    </row>
    <row r="146" spans="7:12" ht="12">
      <c r="G146" s="29"/>
      <c r="L146" s="4"/>
    </row>
    <row r="147" spans="2:12" ht="12">
      <c r="B147" s="3"/>
      <c r="C147" s="290"/>
      <c r="G147" s="288"/>
      <c r="H147" s="287"/>
      <c r="L147" s="4"/>
    </row>
    <row r="148" spans="7:12" ht="12">
      <c r="G148" s="29"/>
      <c r="L148" s="4"/>
    </row>
    <row r="149" spans="7:12" ht="12">
      <c r="G149" s="29"/>
      <c r="L149" s="4"/>
    </row>
    <row r="150" spans="2:12" ht="12">
      <c r="B150" s="3"/>
      <c r="C150" s="291"/>
      <c r="G150" s="288"/>
      <c r="H150" s="292"/>
      <c r="L150" s="4"/>
    </row>
    <row r="151" spans="10:12" ht="12">
      <c r="J151" s="4"/>
      <c r="K151" s="4"/>
      <c r="L151" s="4"/>
    </row>
    <row r="152" spans="1:12" ht="12">
      <c r="A152" s="293"/>
      <c r="B152" s="293"/>
      <c r="C152" s="293"/>
      <c r="D152" s="293"/>
      <c r="E152" s="293"/>
      <c r="F152" s="293"/>
      <c r="G152" s="293"/>
      <c r="H152" s="293"/>
      <c r="I152" s="293"/>
      <c r="J152" s="7"/>
      <c r="K152" s="7"/>
      <c r="L152" s="4"/>
    </row>
    <row r="153" spans="10:12" ht="12">
      <c r="J153" s="4"/>
      <c r="K153" s="4"/>
      <c r="L153" s="4"/>
    </row>
    <row r="154" spans="2:12" ht="12">
      <c r="B154" s="286"/>
      <c r="D154" s="292"/>
      <c r="J154" s="4"/>
      <c r="K154" s="4"/>
      <c r="L154" s="4"/>
    </row>
    <row r="155" spans="10:12" ht="12">
      <c r="J155" s="4"/>
      <c r="K155" s="4"/>
      <c r="L155" s="4"/>
    </row>
    <row r="156" spans="1:12" ht="12">
      <c r="A156" s="293"/>
      <c r="B156" s="293"/>
      <c r="C156" s="293"/>
      <c r="D156" s="293"/>
      <c r="E156" s="293"/>
      <c r="F156" s="293"/>
      <c r="G156" s="293"/>
      <c r="H156" s="293"/>
      <c r="I156" s="293"/>
      <c r="J156" s="7"/>
      <c r="K156" s="7"/>
      <c r="L156" s="4"/>
    </row>
    <row r="157" spans="1:12" ht="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</sheetData>
  <sheetProtection password="F184" sheet="1"/>
  <mergeCells count="3">
    <mergeCell ref="A1:K1"/>
    <mergeCell ref="A5:J5"/>
    <mergeCell ref="F32:G32"/>
  </mergeCells>
  <printOptions horizontalCentered="1"/>
  <pageMargins left="0.5905511811023623" right="0" top="1.1811023622047245" bottom="0.1968503937007874" header="0.31496062992125984" footer="0.31496062992125984"/>
  <pageSetup horizontalDpi="600" verticalDpi="600" orientation="portrait" paperSize="9" scale="60" r:id="rId1"/>
  <headerFooter alignWithMargins="0">
    <oddHeader>&amp;CPágina &amp;P de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39">
      <selection activeCell="C43" sqref="C43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2.625" style="1" customWidth="1"/>
    <col min="8" max="8" width="13.125" style="1" customWidth="1"/>
    <col min="9" max="9" width="13.00390625" style="1" customWidth="1"/>
    <col min="10" max="10" width="12.375" style="1" customWidth="1"/>
    <col min="11" max="11" width="8.00390625" style="1" customWidth="1"/>
    <col min="12" max="12" width="0.875" style="1" customWidth="1"/>
    <col min="13" max="16384" width="11.00390625" style="1" customWidth="1"/>
  </cols>
  <sheetData>
    <row r="1" spans="1:11" ht="22.5" customHeight="1" thickBot="1">
      <c r="A1" s="817" t="s">
        <v>236</v>
      </c>
      <c r="B1" s="818"/>
      <c r="C1" s="818"/>
      <c r="D1" s="818"/>
      <c r="E1" s="818"/>
      <c r="F1" s="818"/>
      <c r="G1" s="818"/>
      <c r="H1" s="818"/>
      <c r="I1" s="818"/>
      <c r="J1" s="818"/>
      <c r="K1" s="819"/>
    </row>
    <row r="2" spans="1:11" ht="20.25">
      <c r="A2" s="85" t="s">
        <v>186</v>
      </c>
      <c r="B2" s="86"/>
      <c r="C2" s="87"/>
      <c r="D2" s="86"/>
      <c r="E2" s="86"/>
      <c r="F2" s="86"/>
      <c r="G2" s="88"/>
      <c r="H2" s="86"/>
      <c r="I2" s="86"/>
      <c r="J2" s="349"/>
      <c r="K2" s="89"/>
    </row>
    <row r="3" spans="1:11" ht="20.25">
      <c r="A3" s="94" t="s">
        <v>187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</row>
    <row r="4" spans="1:11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</row>
    <row r="6" spans="1:11" ht="12.75">
      <c r="A6" s="104" t="s">
        <v>237</v>
      </c>
      <c r="B6" s="105"/>
      <c r="C6" s="105"/>
      <c r="D6" s="105"/>
      <c r="E6" s="114"/>
      <c r="F6" s="105"/>
      <c r="G6" s="105"/>
      <c r="H6" s="105"/>
      <c r="I6" s="105"/>
      <c r="J6" s="105"/>
      <c r="K6" s="115"/>
    </row>
    <row r="7" spans="1:11" ht="12.7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7"/>
    </row>
    <row r="8" spans="1:11" ht="12.75">
      <c r="A8" s="109"/>
      <c r="B8" s="110"/>
      <c r="C8" s="110"/>
      <c r="D8" s="110"/>
      <c r="E8" s="110"/>
      <c r="F8" s="110"/>
      <c r="G8" s="110"/>
      <c r="H8" s="110"/>
      <c r="I8" s="120"/>
      <c r="J8" s="110"/>
      <c r="K8" s="117"/>
    </row>
    <row r="9" spans="1:11" ht="15.75">
      <c r="A9" s="109" t="s">
        <v>60</v>
      </c>
      <c r="B9" s="111" t="s">
        <v>61</v>
      </c>
      <c r="C9" s="110"/>
      <c r="D9" s="110"/>
      <c r="E9" s="110"/>
      <c r="F9" s="110"/>
      <c r="G9" s="110"/>
      <c r="H9" s="110"/>
      <c r="I9" s="120"/>
      <c r="J9" s="110"/>
      <c r="K9" s="117"/>
    </row>
    <row r="10" spans="1:11" ht="12.75">
      <c r="A10" s="109"/>
      <c r="B10" s="110"/>
      <c r="C10" s="131"/>
      <c r="D10" s="110"/>
      <c r="E10" s="110"/>
      <c r="F10" s="110"/>
      <c r="G10" s="110"/>
      <c r="H10" s="110"/>
      <c r="I10" s="110"/>
      <c r="J10" s="110"/>
      <c r="K10" s="117"/>
    </row>
    <row r="11" spans="1:11" ht="12.75">
      <c r="A11" s="121" t="s">
        <v>65</v>
      </c>
      <c r="B11" s="137">
        <v>0.291666666666667</v>
      </c>
      <c r="C11" s="123" t="s">
        <v>58</v>
      </c>
      <c r="D11" s="137">
        <v>0.708333333333333</v>
      </c>
      <c r="E11" s="124" t="s">
        <v>59</v>
      </c>
      <c r="F11" s="125"/>
      <c r="G11" s="126"/>
      <c r="H11" s="126"/>
      <c r="I11" s="126"/>
      <c r="J11" s="126"/>
      <c r="K11" s="117"/>
    </row>
    <row r="12" spans="1:11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</row>
    <row r="13" spans="1:11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</row>
    <row r="14" spans="1:11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</row>
    <row r="15" spans="1:11" ht="12.75">
      <c r="A15" s="152"/>
      <c r="B15" s="148"/>
      <c r="C15" s="148"/>
      <c r="D15" s="148"/>
      <c r="E15" s="148"/>
      <c r="F15" s="148"/>
      <c r="G15" s="148"/>
      <c r="H15" s="148"/>
      <c r="I15" s="148"/>
      <c r="J15" s="156"/>
      <c r="K15" s="117"/>
    </row>
    <row r="16" spans="1:11" ht="12.75">
      <c r="A16" s="185"/>
      <c r="B16" s="148"/>
      <c r="C16" s="161"/>
      <c r="D16" s="148"/>
      <c r="E16" s="175">
        <v>12</v>
      </c>
      <c r="F16" s="170" t="s">
        <v>89</v>
      </c>
      <c r="G16" s="170" t="s">
        <v>192</v>
      </c>
      <c r="H16" s="175">
        <f>E16</f>
        <v>12</v>
      </c>
      <c r="I16" s="200">
        <v>801.4</v>
      </c>
      <c r="J16" s="172">
        <f>(H16*I16)</f>
        <v>9616.8</v>
      </c>
      <c r="K16" s="173">
        <f aca="true" t="shared" si="0" ref="K16:K26">J16/J$52</f>
        <v>0.2869</v>
      </c>
    </row>
    <row r="17" spans="1:11" ht="12.75">
      <c r="A17" s="176"/>
      <c r="B17" s="12"/>
      <c r="C17" s="161"/>
      <c r="D17" s="12"/>
      <c r="E17" s="175">
        <v>1</v>
      </c>
      <c r="F17" s="170" t="s">
        <v>100</v>
      </c>
      <c r="G17" s="170" t="s">
        <v>238</v>
      </c>
      <c r="H17" s="175">
        <f>E17</f>
        <v>1</v>
      </c>
      <c r="I17" s="200">
        <v>1186</v>
      </c>
      <c r="J17" s="172">
        <f>(H17*I17)</f>
        <v>1186</v>
      </c>
      <c r="K17" s="173">
        <f t="shared" si="0"/>
        <v>0.0354</v>
      </c>
    </row>
    <row r="18" spans="1:11" ht="12.75">
      <c r="A18" s="176"/>
      <c r="B18" s="12"/>
      <c r="C18" s="161"/>
      <c r="D18" s="12"/>
      <c r="E18" s="175">
        <v>1</v>
      </c>
      <c r="F18" s="170" t="s">
        <v>109</v>
      </c>
      <c r="G18" s="170" t="s">
        <v>196</v>
      </c>
      <c r="H18" s="175">
        <f>E18</f>
        <v>1</v>
      </c>
      <c r="I18" s="350">
        <v>1800</v>
      </c>
      <c r="J18" s="172">
        <f>(H18*I18)</f>
        <v>1800</v>
      </c>
      <c r="K18" s="173">
        <f t="shared" si="0"/>
        <v>0.0537</v>
      </c>
    </row>
    <row r="19" spans="1:11" ht="12.75">
      <c r="A19" s="760">
        <v>82.26</v>
      </c>
      <c r="B19" s="12" t="s">
        <v>198</v>
      </c>
      <c r="C19" s="161" t="s">
        <v>139</v>
      </c>
      <c r="D19" s="153" t="s">
        <v>84</v>
      </c>
      <c r="E19" s="12" t="s">
        <v>88</v>
      </c>
      <c r="F19" s="170" t="s">
        <v>113</v>
      </c>
      <c r="G19" s="153" t="s">
        <v>199</v>
      </c>
      <c r="H19" s="166">
        <f>A19/100</f>
        <v>0.8226</v>
      </c>
      <c r="I19" s="161">
        <f>SUM(J16:J18)</f>
        <v>12602.8</v>
      </c>
      <c r="J19" s="177">
        <f>(I19*H19)</f>
        <v>10367.06</v>
      </c>
      <c r="K19" s="173">
        <f t="shared" si="0"/>
        <v>0.3093</v>
      </c>
    </row>
    <row r="20" spans="1:11" ht="12.75">
      <c r="A20" s="176">
        <v>1</v>
      </c>
      <c r="B20" s="12" t="s">
        <v>200</v>
      </c>
      <c r="C20" s="161">
        <v>1</v>
      </c>
      <c r="D20" s="12" t="s">
        <v>87</v>
      </c>
      <c r="E20" s="159">
        <f>E16+E18+E17</f>
        <v>14</v>
      </c>
      <c r="F20" s="170" t="s">
        <v>116</v>
      </c>
      <c r="G20" s="153" t="s">
        <v>201</v>
      </c>
      <c r="H20" s="159">
        <f aca="true" t="shared" si="1" ref="H20:H26">E20</f>
        <v>14</v>
      </c>
      <c r="I20" s="169">
        <v>114.4</v>
      </c>
      <c r="J20" s="177">
        <f>(+I20*H20)*A20/C20</f>
        <v>1601.6</v>
      </c>
      <c r="K20" s="173">
        <f t="shared" si="0"/>
        <v>0.0478</v>
      </c>
    </row>
    <row r="21" spans="1:11" ht="12.75">
      <c r="A21" s="176">
        <v>1</v>
      </c>
      <c r="B21" s="12" t="s">
        <v>202</v>
      </c>
      <c r="C21" s="161">
        <v>6</v>
      </c>
      <c r="D21" s="12" t="s">
        <v>87</v>
      </c>
      <c r="E21" s="159">
        <f>E20</f>
        <v>14</v>
      </c>
      <c r="F21" s="170" t="s">
        <v>120</v>
      </c>
      <c r="G21" s="153" t="s">
        <v>204</v>
      </c>
      <c r="H21" s="159">
        <f t="shared" si="1"/>
        <v>14</v>
      </c>
      <c r="I21" s="255">
        <v>90</v>
      </c>
      <c r="J21" s="177">
        <f>(I21*H21*A21)/C21</f>
        <v>210</v>
      </c>
      <c r="K21" s="173">
        <f t="shared" si="0"/>
        <v>0.0063</v>
      </c>
    </row>
    <row r="22" spans="1:11" ht="12.75">
      <c r="A22" s="176">
        <v>1</v>
      </c>
      <c r="B22" s="12" t="s">
        <v>205</v>
      </c>
      <c r="C22" s="161">
        <v>1</v>
      </c>
      <c r="D22" s="12" t="s">
        <v>87</v>
      </c>
      <c r="E22" s="159">
        <f>E20</f>
        <v>14</v>
      </c>
      <c r="F22" s="170" t="s">
        <v>125</v>
      </c>
      <c r="G22" s="153" t="s">
        <v>207</v>
      </c>
      <c r="H22" s="159">
        <f t="shared" si="1"/>
        <v>14</v>
      </c>
      <c r="I22" s="255">
        <v>28</v>
      </c>
      <c r="J22" s="177">
        <f>(+I22*H22)*A22*C22</f>
        <v>392</v>
      </c>
      <c r="K22" s="173">
        <f t="shared" si="0"/>
        <v>0.0117</v>
      </c>
    </row>
    <row r="23" spans="1:11" ht="12.75">
      <c r="A23" s="176">
        <v>1</v>
      </c>
      <c r="B23" s="12" t="s">
        <v>202</v>
      </c>
      <c r="C23" s="161">
        <v>1</v>
      </c>
      <c r="D23" s="12" t="s">
        <v>87</v>
      </c>
      <c r="E23" s="159">
        <f>E22</f>
        <v>14</v>
      </c>
      <c r="F23" s="170" t="s">
        <v>132</v>
      </c>
      <c r="G23" s="153" t="s">
        <v>209</v>
      </c>
      <c r="H23" s="159">
        <f t="shared" si="1"/>
        <v>14</v>
      </c>
      <c r="I23" s="255">
        <v>16</v>
      </c>
      <c r="J23" s="177">
        <f>(I23*H23*A23)/C23</f>
        <v>224</v>
      </c>
      <c r="K23" s="173">
        <f t="shared" si="0"/>
        <v>0.0067</v>
      </c>
    </row>
    <row r="24" spans="1:11" ht="12.75">
      <c r="A24" s="176">
        <v>1</v>
      </c>
      <c r="B24" s="12" t="s">
        <v>202</v>
      </c>
      <c r="C24" s="161">
        <v>6</v>
      </c>
      <c r="D24" s="12" t="s">
        <v>87</v>
      </c>
      <c r="E24" s="159">
        <f>E20</f>
        <v>14</v>
      </c>
      <c r="F24" s="170" t="s">
        <v>203</v>
      </c>
      <c r="G24" s="153" t="s">
        <v>211</v>
      </c>
      <c r="H24" s="159">
        <f t="shared" si="1"/>
        <v>14</v>
      </c>
      <c r="I24" s="255">
        <v>120</v>
      </c>
      <c r="J24" s="177">
        <f>(I24*H24*A24)/C24</f>
        <v>280</v>
      </c>
      <c r="K24" s="173">
        <f t="shared" si="0"/>
        <v>0.0084</v>
      </c>
    </row>
    <row r="25" spans="1:11" ht="12.75">
      <c r="A25" s="176">
        <v>44</v>
      </c>
      <c r="B25" s="12" t="s">
        <v>202</v>
      </c>
      <c r="C25" s="161">
        <v>1</v>
      </c>
      <c r="D25" s="12" t="s">
        <v>87</v>
      </c>
      <c r="E25" s="159">
        <f>E21</f>
        <v>14</v>
      </c>
      <c r="F25" s="153" t="s">
        <v>206</v>
      </c>
      <c r="G25" s="153" t="s">
        <v>213</v>
      </c>
      <c r="H25" s="159">
        <f t="shared" si="1"/>
        <v>14</v>
      </c>
      <c r="I25" s="169">
        <v>2.1</v>
      </c>
      <c r="J25" s="177">
        <f>(I25*H25*A25)/C25</f>
        <v>1293.6</v>
      </c>
      <c r="K25" s="173">
        <f t="shared" si="0"/>
        <v>0.0386</v>
      </c>
    </row>
    <row r="26" spans="1:11" ht="12.75">
      <c r="A26" s="176">
        <v>1</v>
      </c>
      <c r="B26" s="12" t="s">
        <v>202</v>
      </c>
      <c r="C26" s="161">
        <v>1</v>
      </c>
      <c r="D26" s="12" t="s">
        <v>87</v>
      </c>
      <c r="E26" s="159">
        <f>E22</f>
        <v>14</v>
      </c>
      <c r="F26" s="153" t="s">
        <v>208</v>
      </c>
      <c r="G26" s="153" t="s">
        <v>215</v>
      </c>
      <c r="H26" s="159">
        <f t="shared" si="1"/>
        <v>14</v>
      </c>
      <c r="I26" s="169">
        <f>I19</f>
        <v>12602.8</v>
      </c>
      <c r="J26" s="177">
        <f>(I26*0.06)*-1</f>
        <v>-756.17</v>
      </c>
      <c r="K26" s="173">
        <f t="shared" si="0"/>
        <v>-0.0226</v>
      </c>
    </row>
    <row r="27" spans="1:11" ht="12.75">
      <c r="A27" s="176"/>
      <c r="B27" s="12"/>
      <c r="C27" s="161"/>
      <c r="D27" s="12"/>
      <c r="E27" s="159"/>
      <c r="F27" s="153"/>
      <c r="G27" s="153"/>
      <c r="H27" s="754"/>
      <c r="I27" s="377"/>
      <c r="J27" s="380"/>
      <c r="K27" s="173"/>
    </row>
    <row r="28" spans="1:11" ht="12.75">
      <c r="A28" s="174"/>
      <c r="B28" s="148"/>
      <c r="C28" s="161"/>
      <c r="D28" s="148"/>
      <c r="E28" s="148"/>
      <c r="F28" s="170" t="s">
        <v>210</v>
      </c>
      <c r="G28" s="156" t="s">
        <v>445</v>
      </c>
      <c r="H28" s="749"/>
      <c r="I28" s="751"/>
      <c r="J28" s="380">
        <f>SUM(J16:J26)</f>
        <v>26214.89</v>
      </c>
      <c r="K28" s="173"/>
    </row>
    <row r="29" spans="1:11" ht="12.75">
      <c r="A29" s="174"/>
      <c r="B29" s="148"/>
      <c r="C29" s="161"/>
      <c r="D29" s="148"/>
      <c r="E29" s="424"/>
      <c r="F29" s="170"/>
      <c r="G29" s="752"/>
      <c r="H29" s="753"/>
      <c r="I29" s="751"/>
      <c r="J29" s="750"/>
      <c r="K29" s="173"/>
    </row>
    <row r="30" spans="1:11" ht="12.75">
      <c r="A30" s="760">
        <v>2.5</v>
      </c>
      <c r="B30" s="168" t="s">
        <v>198</v>
      </c>
      <c r="C30" s="161"/>
      <c r="D30" s="12"/>
      <c r="E30" s="424"/>
      <c r="F30" s="170" t="s">
        <v>463</v>
      </c>
      <c r="G30" s="226" t="s">
        <v>448</v>
      </c>
      <c r="H30" s="186">
        <f>A30/100</f>
        <v>0.025</v>
      </c>
      <c r="I30" s="246">
        <f>J28</f>
        <v>26214.89</v>
      </c>
      <c r="J30" s="172">
        <f>H30*I30</f>
        <v>655.37</v>
      </c>
      <c r="K30" s="173">
        <f>J30/J$52</f>
        <v>0.0196</v>
      </c>
    </row>
    <row r="31" spans="1:11" ht="12.75">
      <c r="A31" s="152"/>
      <c r="B31" s="148"/>
      <c r="C31" s="179"/>
      <c r="D31" s="148"/>
      <c r="E31" s="148"/>
      <c r="F31" s="148"/>
      <c r="G31" s="148"/>
      <c r="H31" s="148"/>
      <c r="I31" s="179"/>
      <c r="J31" s="187"/>
      <c r="K31" s="173"/>
    </row>
    <row r="32" spans="1:11" ht="12.75">
      <c r="A32" s="141"/>
      <c r="B32" s="142"/>
      <c r="C32" s="144"/>
      <c r="D32" s="142"/>
      <c r="E32" s="142"/>
      <c r="F32" s="223" t="s">
        <v>212</v>
      </c>
      <c r="G32" s="218" t="s">
        <v>464</v>
      </c>
      <c r="H32" s="224"/>
      <c r="I32" s="224"/>
      <c r="J32" s="225">
        <f>SUM(J28:J30)</f>
        <v>26870.26</v>
      </c>
      <c r="K32" s="196">
        <f>J32/J$52</f>
        <v>0.8017</v>
      </c>
    </row>
    <row r="33" spans="1:11" ht="12.75">
      <c r="A33" s="197"/>
      <c r="B33" s="113"/>
      <c r="C33" s="113"/>
      <c r="D33" s="113"/>
      <c r="E33" s="113"/>
      <c r="F33" s="154"/>
      <c r="G33" s="154"/>
      <c r="H33" s="154"/>
      <c r="I33" s="154"/>
      <c r="J33" s="127"/>
      <c r="K33" s="228"/>
    </row>
    <row r="34" spans="1:11" ht="20.25">
      <c r="A34" s="229" t="s">
        <v>136</v>
      </c>
      <c r="B34" s="230"/>
      <c r="C34" s="230"/>
      <c r="D34" s="230"/>
      <c r="E34" s="230"/>
      <c r="F34" s="230"/>
      <c r="G34" s="230"/>
      <c r="H34" s="230"/>
      <c r="I34" s="230"/>
      <c r="J34" s="230"/>
      <c r="K34" s="192"/>
    </row>
    <row r="35" spans="1:11" ht="20.25">
      <c r="A35" s="197"/>
      <c r="B35" s="113"/>
      <c r="C35" s="113"/>
      <c r="D35" s="113"/>
      <c r="E35" s="113"/>
      <c r="F35" s="113"/>
      <c r="G35" s="155"/>
      <c r="H35" s="113"/>
      <c r="I35" s="113"/>
      <c r="J35" s="113"/>
      <c r="K35" s="97"/>
    </row>
    <row r="36" spans="1:11" ht="12.75">
      <c r="A36" s="188"/>
      <c r="B36" s="134"/>
      <c r="C36" s="133"/>
      <c r="D36" s="133"/>
      <c r="E36" s="133"/>
      <c r="F36" s="231"/>
      <c r="G36" s="182"/>
      <c r="H36" s="15"/>
      <c r="I36" s="135" t="s">
        <v>64</v>
      </c>
      <c r="J36" s="136"/>
      <c r="K36" s="117"/>
    </row>
    <row r="37" spans="1:11" ht="12.75">
      <c r="A37" s="197"/>
      <c r="B37" s="233"/>
      <c r="C37" s="12" t="s">
        <v>75</v>
      </c>
      <c r="D37" s="12" t="s">
        <v>67</v>
      </c>
      <c r="E37" s="12" t="s">
        <v>69</v>
      </c>
      <c r="F37" s="815" t="s">
        <v>70</v>
      </c>
      <c r="G37" s="816"/>
      <c r="H37" s="12" t="s">
        <v>71</v>
      </c>
      <c r="I37" s="12" t="s">
        <v>72</v>
      </c>
      <c r="J37" s="138" t="s">
        <v>73</v>
      </c>
      <c r="K37" s="117"/>
    </row>
    <row r="38" spans="1:11" ht="12.75">
      <c r="A38" s="197"/>
      <c r="B38" s="233"/>
      <c r="C38" s="142"/>
      <c r="D38" s="142"/>
      <c r="E38" s="142"/>
      <c r="F38" s="145"/>
      <c r="G38" s="126"/>
      <c r="H38" s="150"/>
      <c r="I38" s="144" t="s">
        <v>74</v>
      </c>
      <c r="J38" s="145"/>
      <c r="K38" s="234"/>
    </row>
    <row r="39" spans="1:11" ht="12.75">
      <c r="A39" s="197"/>
      <c r="B39" s="233"/>
      <c r="C39" s="148"/>
      <c r="D39" s="148"/>
      <c r="E39" s="153" t="s">
        <v>146</v>
      </c>
      <c r="F39" s="181" t="s">
        <v>465</v>
      </c>
      <c r="G39" s="106"/>
      <c r="H39" s="235"/>
      <c r="I39" s="161">
        <f>J32</f>
        <v>26870.26</v>
      </c>
      <c r="J39" s="236">
        <f>J32</f>
        <v>26870.26</v>
      </c>
      <c r="K39" s="117"/>
    </row>
    <row r="40" spans="1:11" ht="12.75">
      <c r="A40" s="197"/>
      <c r="B40" s="233"/>
      <c r="C40" s="706"/>
      <c r="D40" s="12"/>
      <c r="E40" s="153"/>
      <c r="F40" s="226"/>
      <c r="G40" s="227"/>
      <c r="H40" s="160"/>
      <c r="I40" s="179"/>
      <c r="J40" s="177"/>
      <c r="K40" s="173"/>
    </row>
    <row r="41" spans="1:11" ht="12.75">
      <c r="A41" s="197"/>
      <c r="B41" s="233"/>
      <c r="C41" s="237">
        <v>5.5</v>
      </c>
      <c r="D41" s="12" t="s">
        <v>51</v>
      </c>
      <c r="E41" s="153" t="s">
        <v>149</v>
      </c>
      <c r="F41" s="226" t="s">
        <v>138</v>
      </c>
      <c r="G41" s="227"/>
      <c r="H41" s="160">
        <f>(C41/100)</f>
        <v>0.055</v>
      </c>
      <c r="I41" s="179"/>
      <c r="J41" s="177">
        <f>(+J39*H41)</f>
        <v>1477.86</v>
      </c>
      <c r="K41" s="173">
        <f>J41/J52</f>
        <v>0.0441</v>
      </c>
    </row>
    <row r="42" spans="1:13" ht="12.75">
      <c r="A42" s="197"/>
      <c r="B42" s="233"/>
      <c r="C42" s="161" t="s">
        <v>139</v>
      </c>
      <c r="D42" s="148"/>
      <c r="E42" s="148"/>
      <c r="F42" s="156"/>
      <c r="G42" s="113"/>
      <c r="H42" s="160"/>
      <c r="I42" s="161"/>
      <c r="J42" s="177"/>
      <c r="K42" s="238"/>
      <c r="M42" s="178"/>
    </row>
    <row r="43" spans="1:11" ht="12.75">
      <c r="A43" s="197"/>
      <c r="B43" s="233"/>
      <c r="C43" s="245"/>
      <c r="D43" s="148"/>
      <c r="E43" s="153" t="s">
        <v>152</v>
      </c>
      <c r="F43" s="226" t="s">
        <v>424</v>
      </c>
      <c r="G43" s="113"/>
      <c r="H43" s="160"/>
      <c r="I43" s="179"/>
      <c r="J43" s="177">
        <f>SUM(J39:J41)</f>
        <v>28348.12</v>
      </c>
      <c r="K43" s="173"/>
    </row>
    <row r="44" spans="1:11" ht="12.75">
      <c r="A44" s="197"/>
      <c r="B44" s="233"/>
      <c r="C44" s="161">
        <v>0</v>
      </c>
      <c r="D44" s="12" t="s">
        <v>51</v>
      </c>
      <c r="E44" s="153" t="s">
        <v>154</v>
      </c>
      <c r="F44" s="226" t="s">
        <v>142</v>
      </c>
      <c r="G44" s="227"/>
      <c r="H44" s="160">
        <f>(C44/100)</f>
        <v>0</v>
      </c>
      <c r="I44" s="246">
        <f>J43</f>
        <v>28348.12</v>
      </c>
      <c r="J44" s="177">
        <f>(+J43*H44)</f>
        <v>0</v>
      </c>
      <c r="K44" s="173">
        <f>J44/J52</f>
        <v>0</v>
      </c>
    </row>
    <row r="45" spans="1:11" ht="12.75">
      <c r="A45" s="197"/>
      <c r="B45" s="233"/>
      <c r="C45" s="161" t="s">
        <v>139</v>
      </c>
      <c r="D45" s="148"/>
      <c r="E45" s="148"/>
      <c r="F45" s="156"/>
      <c r="G45" s="113"/>
      <c r="H45" s="160"/>
      <c r="I45" s="161"/>
      <c r="J45" s="177"/>
      <c r="K45" s="238"/>
    </row>
    <row r="46" spans="1:11" ht="12.75">
      <c r="A46" s="197"/>
      <c r="B46" s="233"/>
      <c r="C46" s="161" t="s">
        <v>139</v>
      </c>
      <c r="D46" s="148"/>
      <c r="E46" s="153" t="s">
        <v>155</v>
      </c>
      <c r="F46" s="226" t="s">
        <v>425</v>
      </c>
      <c r="G46" s="113"/>
      <c r="H46" s="160"/>
      <c r="I46" s="179"/>
      <c r="J46" s="177">
        <f>SUM(J43:J44)</f>
        <v>28348.12</v>
      </c>
      <c r="K46" s="238"/>
    </row>
    <row r="47" spans="1:11" ht="12.75">
      <c r="A47" s="197"/>
      <c r="B47" s="233"/>
      <c r="C47" s="237">
        <v>9</v>
      </c>
      <c r="D47" s="12" t="s">
        <v>51</v>
      </c>
      <c r="E47" s="153" t="s">
        <v>156</v>
      </c>
      <c r="F47" s="226" t="s">
        <v>427</v>
      </c>
      <c r="G47" s="227"/>
      <c r="H47" s="160">
        <f>(C47/100)</f>
        <v>0.09</v>
      </c>
      <c r="I47" s="246">
        <f>J46</f>
        <v>28348.12</v>
      </c>
      <c r="J47" s="177">
        <f>(+J46*H47)</f>
        <v>2551.33</v>
      </c>
      <c r="K47" s="173">
        <f>J47/J52</f>
        <v>0.0761</v>
      </c>
    </row>
    <row r="48" spans="1:11" ht="12.75">
      <c r="A48" s="197"/>
      <c r="B48" s="233"/>
      <c r="C48" s="161" t="s">
        <v>139</v>
      </c>
      <c r="D48" s="148"/>
      <c r="E48" s="148"/>
      <c r="F48" s="156"/>
      <c r="G48" s="113"/>
      <c r="H48" s="160"/>
      <c r="I48" s="179"/>
      <c r="J48" s="177"/>
      <c r="K48" s="238"/>
    </row>
    <row r="49" spans="1:11" ht="12.75">
      <c r="A49" s="197"/>
      <c r="B49" s="233"/>
      <c r="C49" s="161" t="s">
        <v>139</v>
      </c>
      <c r="D49" s="148"/>
      <c r="E49" s="153" t="s">
        <v>158</v>
      </c>
      <c r="F49" s="226" t="s">
        <v>162</v>
      </c>
      <c r="G49" s="113"/>
      <c r="H49" s="160"/>
      <c r="I49" s="179"/>
      <c r="J49" s="177">
        <f>SUM(J46:J47)</f>
        <v>30899.45</v>
      </c>
      <c r="K49" s="238"/>
    </row>
    <row r="50" spans="1:11" ht="12.75">
      <c r="A50" s="197"/>
      <c r="B50" s="233"/>
      <c r="C50" s="255">
        <f>(15%*C47)+(9%*C47)+3.65+2</f>
        <v>7.81</v>
      </c>
      <c r="D50" s="12" t="s">
        <v>51</v>
      </c>
      <c r="E50" s="153" t="s">
        <v>165</v>
      </c>
      <c r="F50" s="226" t="s">
        <v>151</v>
      </c>
      <c r="G50" s="227"/>
      <c r="H50" s="160">
        <f>(C50/100)</f>
        <v>0.0781</v>
      </c>
      <c r="I50" s="179"/>
      <c r="J50" s="177">
        <f>(+J52*H50)</f>
        <v>2617.69</v>
      </c>
      <c r="K50" s="173">
        <f>J50/J52</f>
        <v>0.0781</v>
      </c>
    </row>
    <row r="51" spans="1:11" ht="12" customHeight="1">
      <c r="A51" s="197"/>
      <c r="B51" s="233"/>
      <c r="C51" s="161" t="s">
        <v>139</v>
      </c>
      <c r="D51" s="148"/>
      <c r="E51" s="148"/>
      <c r="F51" s="156"/>
      <c r="G51" s="113"/>
      <c r="H51" s="179"/>
      <c r="I51" s="179"/>
      <c r="J51" s="177"/>
      <c r="K51" s="238"/>
    </row>
    <row r="52" spans="1:11" ht="16.5" thickBot="1">
      <c r="A52" s="260"/>
      <c r="B52" s="261"/>
      <c r="C52" s="262" t="s">
        <v>139</v>
      </c>
      <c r="D52" s="263"/>
      <c r="E52" s="264" t="s">
        <v>161</v>
      </c>
      <c r="F52" s="265" t="s">
        <v>426</v>
      </c>
      <c r="G52" s="266"/>
      <c r="H52" s="266"/>
      <c r="I52" s="266"/>
      <c r="J52" s="357">
        <f>J49/(1-H50)</f>
        <v>33517.14</v>
      </c>
      <c r="K52" s="268">
        <f>J52/J52</f>
        <v>1</v>
      </c>
    </row>
    <row r="53" spans="1:11" ht="12.75">
      <c r="A53" s="359"/>
      <c r="B53" s="359"/>
      <c r="C53" s="360"/>
      <c r="D53" s="359"/>
      <c r="E53" s="361"/>
      <c r="F53" s="361"/>
      <c r="G53" s="359"/>
      <c r="H53" s="359"/>
      <c r="I53" s="359"/>
      <c r="J53" s="360"/>
      <c r="K53" s="362"/>
    </row>
    <row r="54" spans="1:11" ht="15.75">
      <c r="A54" s="69" t="s">
        <v>169</v>
      </c>
      <c r="H54" s="359"/>
      <c r="I54" s="359"/>
      <c r="J54" s="360"/>
      <c r="K54" s="362"/>
    </row>
    <row r="56" spans="1:9" ht="15.75">
      <c r="A56" s="69" t="str">
        <f>'Trator de Esteira'!A61</f>
        <v>Patos de Minas-MG, 16 de Novembro de 2015.</v>
      </c>
      <c r="G56" s="13"/>
      <c r="H56" s="11"/>
      <c r="I56" s="11"/>
    </row>
    <row r="57" spans="7:9" ht="15">
      <c r="G57" s="11"/>
      <c r="H57" s="11"/>
      <c r="I57" s="11"/>
    </row>
    <row r="60" spans="1:6" ht="12">
      <c r="A60" s="13"/>
      <c r="F60" s="347"/>
    </row>
    <row r="64" spans="1:10" ht="12">
      <c r="A64" s="275"/>
      <c r="B64" s="275"/>
      <c r="C64" s="275"/>
      <c r="D64" s="275"/>
      <c r="E64" s="275"/>
      <c r="F64" s="275"/>
      <c r="G64" s="275"/>
      <c r="H64" s="275"/>
      <c r="I64" s="275"/>
      <c r="J64" s="275"/>
    </row>
    <row r="88" ht="2.25" customHeight="1"/>
    <row r="89" ht="12.75" customHeight="1"/>
    <row r="90" ht="0.75" customHeight="1"/>
    <row r="115" ht="12.75">
      <c r="L115" s="276"/>
    </row>
    <row r="116" ht="12.75">
      <c r="L116" s="276"/>
    </row>
    <row r="117" ht="12.75">
      <c r="L117" s="276"/>
    </row>
    <row r="118" ht="12.75">
      <c r="L118" s="276"/>
    </row>
    <row r="119" ht="12.75">
      <c r="L119" s="2"/>
    </row>
    <row r="120" spans="1:11" ht="12.75">
      <c r="A120" s="276"/>
      <c r="B120" s="276"/>
      <c r="C120" s="276"/>
      <c r="D120" s="276"/>
      <c r="E120" s="280"/>
      <c r="F120" s="280"/>
      <c r="G120" s="280"/>
      <c r="H120" s="280"/>
      <c r="I120" s="280"/>
      <c r="J120" s="280"/>
      <c r="K120" s="280"/>
    </row>
    <row r="121" spans="1:12" ht="12.75">
      <c r="A121" s="276"/>
      <c r="B121" s="276"/>
      <c r="C121" s="276"/>
      <c r="D121" s="276"/>
      <c r="E121" s="276"/>
      <c r="F121" s="276"/>
      <c r="G121" s="276"/>
      <c r="H121" s="276"/>
      <c r="I121" s="276"/>
      <c r="J121" s="281"/>
      <c r="K121" s="281"/>
      <c r="L121" s="178"/>
    </row>
    <row r="122" spans="1:11" ht="12.75">
      <c r="A122" s="276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</row>
    <row r="123" spans="1:11" ht="12.75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</row>
    <row r="124" spans="1:11" ht="12.7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</row>
    <row r="125" spans="1:11" ht="12.75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</row>
    <row r="126" spans="1:12" ht="12.75">
      <c r="A126" s="2"/>
      <c r="B126" s="2"/>
      <c r="C126" s="2"/>
      <c r="D126" s="2"/>
      <c r="E126" s="282"/>
      <c r="F126" s="2"/>
      <c r="G126" s="2"/>
      <c r="H126" s="2"/>
      <c r="I126" s="2"/>
      <c r="J126" s="2"/>
      <c r="K126" s="2"/>
      <c r="L126" s="4"/>
    </row>
    <row r="127" spans="1:12" ht="12.75">
      <c r="A127" s="2"/>
      <c r="B127" s="2"/>
      <c r="C127" s="2"/>
      <c r="D127" s="2"/>
      <c r="E127" s="283"/>
      <c r="F127" s="283"/>
      <c r="G127" s="283"/>
      <c r="H127" s="283"/>
      <c r="I127" s="2"/>
      <c r="J127" s="2"/>
      <c r="K127" s="2"/>
      <c r="L127" s="4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4"/>
    </row>
    <row r="129" spans="1:12" ht="12.75">
      <c r="A129" s="283"/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4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"/>
      <c r="B132" s="5"/>
      <c r="C132" s="2"/>
      <c r="D132" s="279"/>
      <c r="E132" s="2"/>
      <c r="F132" s="2"/>
      <c r="G132" s="2"/>
      <c r="H132" s="2"/>
      <c r="I132" s="2"/>
      <c r="J132" s="2"/>
      <c r="K132" s="2"/>
      <c r="L132" s="4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5"/>
      <c r="C135" s="2"/>
      <c r="D135" s="279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">
      <c r="A138" s="4"/>
      <c r="B138" s="6"/>
      <c r="C138" s="4"/>
      <c r="D138" s="284"/>
      <c r="E138" s="4"/>
      <c r="F138" s="4"/>
      <c r="G138" s="4"/>
      <c r="H138" s="4"/>
      <c r="I138" s="4"/>
      <c r="J138" s="4"/>
      <c r="K138" s="4"/>
      <c r="L138" s="4"/>
    </row>
    <row r="139" spans="1:12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4"/>
    </row>
    <row r="142" spans="1:12" ht="12">
      <c r="A142" s="4"/>
      <c r="B142" s="4"/>
      <c r="C142" s="6"/>
      <c r="D142" s="4"/>
      <c r="E142" s="4"/>
      <c r="F142" s="4"/>
      <c r="G142" s="285"/>
      <c r="H142" s="285"/>
      <c r="L142" s="4"/>
    </row>
    <row r="143" spans="1:12" ht="12">
      <c r="A143" s="7"/>
      <c r="B143" s="7"/>
      <c r="C143" s="7"/>
      <c r="D143" s="7"/>
      <c r="E143" s="7"/>
      <c r="F143" s="7"/>
      <c r="G143" s="7"/>
      <c r="H143" s="7"/>
      <c r="L143" s="4"/>
    </row>
    <row r="144" spans="1:12" ht="12">
      <c r="A144" s="4"/>
      <c r="B144" s="4"/>
      <c r="C144" s="4"/>
      <c r="D144" s="4"/>
      <c r="E144" s="4"/>
      <c r="F144" s="4"/>
      <c r="G144" s="4"/>
      <c r="H144" s="4"/>
      <c r="L144" s="4"/>
    </row>
    <row r="145" spans="1:12" ht="12">
      <c r="A145" s="4"/>
      <c r="B145" s="4"/>
      <c r="C145" s="4"/>
      <c r="D145" s="4"/>
      <c r="E145" s="4"/>
      <c r="F145" s="4"/>
      <c r="G145" s="4"/>
      <c r="H145" s="4"/>
      <c r="L145" s="4"/>
    </row>
    <row r="146" spans="2:12" ht="12">
      <c r="B146" s="286"/>
      <c r="C146" s="287"/>
      <c r="G146" s="288"/>
      <c r="H146" s="287"/>
      <c r="L146" s="4"/>
    </row>
    <row r="147" spans="7:12" ht="12">
      <c r="G147" s="289"/>
      <c r="L147" s="4"/>
    </row>
    <row r="148" spans="7:12" ht="12">
      <c r="G148" s="289"/>
      <c r="L148" s="4"/>
    </row>
    <row r="149" spans="2:12" ht="12">
      <c r="B149" s="286"/>
      <c r="C149" s="287"/>
      <c r="G149" s="288"/>
      <c r="H149" s="287"/>
      <c r="L149" s="4"/>
    </row>
    <row r="150" spans="7:12" ht="12">
      <c r="G150" s="29"/>
      <c r="L150" s="4"/>
    </row>
    <row r="151" spans="7:12" ht="12">
      <c r="G151" s="29"/>
      <c r="L151" s="4"/>
    </row>
    <row r="152" spans="2:12" ht="12">
      <c r="B152" s="3"/>
      <c r="C152" s="290"/>
      <c r="G152" s="288"/>
      <c r="H152" s="287"/>
      <c r="L152" s="4"/>
    </row>
    <row r="153" spans="7:12" ht="12">
      <c r="G153" s="29"/>
      <c r="L153" s="4"/>
    </row>
    <row r="154" spans="7:12" ht="12">
      <c r="G154" s="29"/>
      <c r="L154" s="4"/>
    </row>
    <row r="155" spans="2:12" ht="12">
      <c r="B155" s="3"/>
      <c r="C155" s="291"/>
      <c r="G155" s="288"/>
      <c r="H155" s="292"/>
      <c r="L155" s="4"/>
    </row>
    <row r="156" spans="10:12" ht="12">
      <c r="J156" s="4"/>
      <c r="K156" s="4"/>
      <c r="L156" s="4"/>
    </row>
    <row r="157" spans="1:12" ht="12">
      <c r="A157" s="293"/>
      <c r="B157" s="293"/>
      <c r="C157" s="293"/>
      <c r="D157" s="293"/>
      <c r="E157" s="293"/>
      <c r="F157" s="293"/>
      <c r="G157" s="293"/>
      <c r="H157" s="293"/>
      <c r="I157" s="293"/>
      <c r="J157" s="7"/>
      <c r="K157" s="7"/>
      <c r="L157" s="4"/>
    </row>
    <row r="158" spans="10:12" ht="12">
      <c r="J158" s="4"/>
      <c r="K158" s="4"/>
      <c r="L158" s="4"/>
    </row>
    <row r="159" spans="2:12" ht="12">
      <c r="B159" s="286"/>
      <c r="D159" s="292"/>
      <c r="J159" s="4"/>
      <c r="K159" s="4"/>
      <c r="L159" s="4"/>
    </row>
    <row r="160" spans="10:12" ht="12">
      <c r="J160" s="4"/>
      <c r="K160" s="4"/>
      <c r="L160" s="4"/>
    </row>
    <row r="161" spans="1:12" ht="12">
      <c r="A161" s="293"/>
      <c r="B161" s="293"/>
      <c r="C161" s="293"/>
      <c r="D161" s="293"/>
      <c r="E161" s="293"/>
      <c r="F161" s="293"/>
      <c r="G161" s="293"/>
      <c r="H161" s="293"/>
      <c r="I161" s="293"/>
      <c r="J161" s="7"/>
      <c r="K161" s="7"/>
      <c r="L161" s="4"/>
    </row>
    <row r="162" spans="1:12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</sheetData>
  <sheetProtection password="F184" sheet="1"/>
  <mergeCells count="3">
    <mergeCell ref="A1:K1"/>
    <mergeCell ref="A5:J5"/>
    <mergeCell ref="F37:G37"/>
  </mergeCells>
  <printOptions horizontalCentered="1"/>
  <pageMargins left="0.5905511811023623" right="0" top="1.1811023622047245" bottom="0.1968503937007874" header="0.31496062992125984" footer="0.31496062992125984"/>
  <pageSetup horizontalDpi="600" verticalDpi="600" orientation="portrait" paperSize="9" scale="60" r:id="rId1"/>
  <headerFooter alignWithMargins="0">
    <oddHeader>&amp;CPágina &amp;P de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2"/>
  <sheetViews>
    <sheetView zoomScalePageLayoutView="0" workbookViewId="0" topLeftCell="B19">
      <selection activeCell="C44" sqref="C44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9.375" style="1" customWidth="1"/>
    <col min="12" max="12" width="0.875" style="1" customWidth="1"/>
    <col min="13" max="16384" width="11.00390625" style="1" customWidth="1"/>
  </cols>
  <sheetData>
    <row r="1" spans="1:12" ht="22.5" customHeight="1" thickBot="1">
      <c r="A1" s="834" t="s">
        <v>221</v>
      </c>
      <c r="B1" s="835"/>
      <c r="C1" s="835"/>
      <c r="D1" s="835"/>
      <c r="E1" s="835"/>
      <c r="F1" s="835"/>
      <c r="G1" s="835"/>
      <c r="H1" s="835"/>
      <c r="I1" s="835"/>
      <c r="J1" s="835"/>
      <c r="K1" s="836"/>
      <c r="L1" s="354"/>
    </row>
    <row r="2" spans="1:12" ht="20.25">
      <c r="A2" s="85" t="s">
        <v>222</v>
      </c>
      <c r="B2" s="86"/>
      <c r="C2" s="87"/>
      <c r="D2" s="86"/>
      <c r="E2" s="86"/>
      <c r="F2" s="86"/>
      <c r="G2" s="88"/>
      <c r="H2" s="86"/>
      <c r="I2" s="86"/>
      <c r="J2" s="86"/>
      <c r="K2" s="89"/>
      <c r="L2" s="354"/>
    </row>
    <row r="3" spans="1:12" ht="20.25">
      <c r="A3" s="94" t="s">
        <v>223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  <c r="L3" s="354"/>
    </row>
    <row r="4" spans="1:12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354"/>
    </row>
    <row r="5" spans="1:12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  <c r="L5" s="354"/>
    </row>
    <row r="6" spans="1:12" ht="12.75">
      <c r="A6" s="104" t="s">
        <v>224</v>
      </c>
      <c r="B6" s="105"/>
      <c r="C6" s="105"/>
      <c r="D6" s="105"/>
      <c r="E6" s="114"/>
      <c r="F6" s="105"/>
      <c r="G6" s="105"/>
      <c r="H6" s="105"/>
      <c r="I6" s="105"/>
      <c r="J6" s="105"/>
      <c r="K6" s="115"/>
      <c r="L6" s="354"/>
    </row>
    <row r="7" spans="1:12" ht="15.75">
      <c r="A7" s="109" t="s">
        <v>60</v>
      </c>
      <c r="B7" s="111" t="s">
        <v>61</v>
      </c>
      <c r="C7" s="110"/>
      <c r="D7" s="110"/>
      <c r="E7" s="110"/>
      <c r="F7" s="110"/>
      <c r="G7" s="110"/>
      <c r="H7" s="110"/>
      <c r="I7" s="110"/>
      <c r="J7" s="110"/>
      <c r="K7" s="117"/>
      <c r="L7" s="354"/>
    </row>
    <row r="8" spans="1:14" ht="12.75">
      <c r="A8" s="109" t="s">
        <v>225</v>
      </c>
      <c r="B8" s="110"/>
      <c r="C8" s="131">
        <v>5095</v>
      </c>
      <c r="D8" s="110" t="s">
        <v>63</v>
      </c>
      <c r="E8" s="110"/>
      <c r="F8" s="110" t="s">
        <v>494</v>
      </c>
      <c r="G8" s="110"/>
      <c r="H8" s="120"/>
      <c r="I8" s="120"/>
      <c r="J8" s="110"/>
      <c r="K8" s="117"/>
      <c r="L8" s="354"/>
      <c r="N8" s="776">
        <f>C8/(2*G$9)</f>
        <v>97.98</v>
      </c>
    </row>
    <row r="9" spans="1:14" ht="12.75">
      <c r="A9" s="109" t="s">
        <v>226</v>
      </c>
      <c r="B9" s="110"/>
      <c r="C9" s="131">
        <v>1910</v>
      </c>
      <c r="D9" s="110" t="s">
        <v>63</v>
      </c>
      <c r="E9" s="84"/>
      <c r="F9" s="110" t="s">
        <v>496</v>
      </c>
      <c r="G9" s="778">
        <v>26</v>
      </c>
      <c r="H9" s="120"/>
      <c r="I9" s="120"/>
      <c r="J9" s="110"/>
      <c r="K9" s="117"/>
      <c r="L9" s="354"/>
      <c r="N9" s="776">
        <f>C9/(2*G$9)</f>
        <v>36.73</v>
      </c>
    </row>
    <row r="10" spans="1:14" ht="12.75">
      <c r="A10" s="109" t="s">
        <v>227</v>
      </c>
      <c r="B10" s="110"/>
      <c r="C10" s="131">
        <v>186</v>
      </c>
      <c r="D10" s="110" t="s">
        <v>63</v>
      </c>
      <c r="E10" s="110"/>
      <c r="F10" s="110"/>
      <c r="G10" s="110"/>
      <c r="H10" s="110"/>
      <c r="I10" s="110"/>
      <c r="J10" s="110"/>
      <c r="K10" s="117"/>
      <c r="L10" s="354"/>
      <c r="N10" s="776">
        <f>(C10*1.5)/(2*G$9)</f>
        <v>5.37</v>
      </c>
    </row>
    <row r="11" spans="1:14" ht="12.75">
      <c r="A11" s="109" t="s">
        <v>228</v>
      </c>
      <c r="B11" s="110"/>
      <c r="C11" s="131">
        <f>2.5*24*7</f>
        <v>420</v>
      </c>
      <c r="D11" s="110" t="s">
        <v>63</v>
      </c>
      <c r="E11" s="110"/>
      <c r="F11" s="110"/>
      <c r="G11" s="110"/>
      <c r="H11" s="110"/>
      <c r="I11" s="110"/>
      <c r="J11" s="110"/>
      <c r="K11" s="117"/>
      <c r="L11" s="354"/>
      <c r="N11" s="776">
        <f>C11/(2*G$9)</f>
        <v>8.08</v>
      </c>
    </row>
    <row r="12" spans="1:14" ht="12.75">
      <c r="A12" s="121" t="s">
        <v>65</v>
      </c>
      <c r="B12" s="137">
        <v>0.291666666666667</v>
      </c>
      <c r="C12" s="123" t="s">
        <v>58</v>
      </c>
      <c r="D12" s="137">
        <v>0.647916666666667</v>
      </c>
      <c r="E12" s="124" t="s">
        <v>59</v>
      </c>
      <c r="F12" s="125" t="s">
        <v>495</v>
      </c>
      <c r="G12" s="126"/>
      <c r="H12" s="126"/>
      <c r="I12" s="126"/>
      <c r="J12" s="126"/>
      <c r="K12" s="117"/>
      <c r="L12" s="354"/>
      <c r="N12" s="777"/>
    </row>
    <row r="13" spans="1:14" ht="12.75">
      <c r="A13" s="14"/>
      <c r="B13" s="15"/>
      <c r="C13" s="15"/>
      <c r="D13" s="15"/>
      <c r="E13" s="15"/>
      <c r="F13" s="15"/>
      <c r="G13" s="15"/>
      <c r="H13" s="15"/>
      <c r="I13" s="135" t="s">
        <v>64</v>
      </c>
      <c r="J13" s="139"/>
      <c r="K13" s="140"/>
      <c r="L13" s="354"/>
      <c r="N13" s="775">
        <f>SUM(N8:N12)</f>
        <v>148.16</v>
      </c>
    </row>
    <row r="14" spans="1:12" ht="12.75">
      <c r="A14" s="16" t="s">
        <v>75</v>
      </c>
      <c r="B14" s="12" t="s">
        <v>67</v>
      </c>
      <c r="C14" s="12" t="s">
        <v>76</v>
      </c>
      <c r="D14" s="12" t="s">
        <v>67</v>
      </c>
      <c r="E14" s="12" t="s">
        <v>66</v>
      </c>
      <c r="F14" s="12" t="s">
        <v>69</v>
      </c>
      <c r="G14" s="12" t="s">
        <v>70</v>
      </c>
      <c r="H14" s="12" t="s">
        <v>71</v>
      </c>
      <c r="I14" s="12" t="s">
        <v>72</v>
      </c>
      <c r="J14" s="138" t="s">
        <v>73</v>
      </c>
      <c r="K14" s="147"/>
      <c r="L14" s="354"/>
    </row>
    <row r="15" spans="1:12" ht="12.75">
      <c r="A15" s="149"/>
      <c r="B15" s="150"/>
      <c r="C15" s="150"/>
      <c r="D15" s="150"/>
      <c r="E15" s="150"/>
      <c r="F15" s="150"/>
      <c r="G15" s="150"/>
      <c r="H15" s="150"/>
      <c r="I15" s="144" t="s">
        <v>74</v>
      </c>
      <c r="J15" s="151"/>
      <c r="K15" s="140"/>
      <c r="L15" s="354"/>
    </row>
    <row r="16" spans="1:12" ht="12.75">
      <c r="A16" s="152"/>
      <c r="B16" s="148"/>
      <c r="C16" s="148"/>
      <c r="D16" s="148"/>
      <c r="E16" s="148"/>
      <c r="F16" s="148"/>
      <c r="G16" s="148"/>
      <c r="H16" s="148"/>
      <c r="I16" s="148"/>
      <c r="J16" s="156"/>
      <c r="K16" s="117"/>
      <c r="L16" s="354"/>
    </row>
    <row r="17" spans="1:12" ht="12.75">
      <c r="A17" s="152"/>
      <c r="B17" s="148"/>
      <c r="C17" s="148"/>
      <c r="D17" s="148"/>
      <c r="E17" s="148"/>
      <c r="F17" s="153" t="s">
        <v>79</v>
      </c>
      <c r="G17" s="12" t="s">
        <v>80</v>
      </c>
      <c r="H17" s="148"/>
      <c r="I17" s="148"/>
      <c r="J17" s="156"/>
      <c r="K17" s="117"/>
      <c r="L17" s="354"/>
    </row>
    <row r="18" spans="1:12" ht="12.75">
      <c r="A18" s="185"/>
      <c r="B18" s="148"/>
      <c r="C18" s="161"/>
      <c r="D18" s="148"/>
      <c r="E18" s="148"/>
      <c r="F18" s="148"/>
      <c r="G18" s="148"/>
      <c r="H18" s="195"/>
      <c r="I18" s="161"/>
      <c r="J18" s="177"/>
      <c r="K18" s="192"/>
      <c r="L18" s="354"/>
    </row>
    <row r="19" spans="1:12" ht="12.75">
      <c r="A19" s="185"/>
      <c r="B19" s="148"/>
      <c r="C19" s="161"/>
      <c r="D19" s="148"/>
      <c r="E19" s="175">
        <v>1</v>
      </c>
      <c r="F19" s="170" t="s">
        <v>89</v>
      </c>
      <c r="G19" s="170" t="s">
        <v>229</v>
      </c>
      <c r="H19" s="199">
        <f aca="true" t="shared" si="0" ref="H19:H24">E19</f>
        <v>1</v>
      </c>
      <c r="I19" s="200">
        <v>1186</v>
      </c>
      <c r="J19" s="172">
        <f aca="true" t="shared" si="1" ref="J19:J24">(H19*I19)</f>
        <v>1186</v>
      </c>
      <c r="K19" s="173">
        <f aca="true" t="shared" si="2" ref="K19:K29">J19/J$57</f>
        <v>0.0032</v>
      </c>
      <c r="L19" s="354"/>
    </row>
    <row r="20" spans="1:12" ht="12.75">
      <c r="A20" s="176"/>
      <c r="B20" s="12"/>
      <c r="C20" s="161"/>
      <c r="D20" s="12"/>
      <c r="E20" s="175">
        <v>2</v>
      </c>
      <c r="F20" s="170" t="s">
        <v>100</v>
      </c>
      <c r="G20" s="170" t="s">
        <v>230</v>
      </c>
      <c r="H20" s="199">
        <f t="shared" si="0"/>
        <v>2</v>
      </c>
      <c r="I20" s="200">
        <v>801.4</v>
      </c>
      <c r="J20" s="172">
        <f t="shared" si="1"/>
        <v>1602.8</v>
      </c>
      <c r="K20" s="173">
        <f t="shared" si="2"/>
        <v>0.0043</v>
      </c>
      <c r="L20" s="354"/>
    </row>
    <row r="21" spans="1:12" ht="12.75">
      <c r="A21" s="176"/>
      <c r="B21" s="12"/>
      <c r="C21" s="161"/>
      <c r="D21" s="12"/>
      <c r="E21" s="175">
        <v>2</v>
      </c>
      <c r="F21" s="170" t="s">
        <v>109</v>
      </c>
      <c r="G21" s="170" t="s">
        <v>231</v>
      </c>
      <c r="H21" s="199">
        <f t="shared" si="0"/>
        <v>2</v>
      </c>
      <c r="I21" s="200">
        <v>1186</v>
      </c>
      <c r="J21" s="172">
        <f t="shared" si="1"/>
        <v>2372</v>
      </c>
      <c r="K21" s="173">
        <f t="shared" si="2"/>
        <v>0.0064</v>
      </c>
      <c r="L21" s="354"/>
    </row>
    <row r="22" spans="1:12" ht="12.75">
      <c r="A22" s="176"/>
      <c r="B22" s="12"/>
      <c r="C22" s="161"/>
      <c r="D22" s="12"/>
      <c r="E22" s="175">
        <v>1</v>
      </c>
      <c r="F22" s="170" t="s">
        <v>113</v>
      </c>
      <c r="G22" s="170" t="s">
        <v>196</v>
      </c>
      <c r="H22" s="199">
        <f t="shared" si="0"/>
        <v>1</v>
      </c>
      <c r="I22" s="350">
        <v>1800</v>
      </c>
      <c r="J22" s="172">
        <f t="shared" si="1"/>
        <v>1800</v>
      </c>
      <c r="K22" s="173">
        <f t="shared" si="2"/>
        <v>0.0048</v>
      </c>
      <c r="L22" s="354"/>
    </row>
    <row r="23" spans="1:12" ht="12.75">
      <c r="A23" s="176"/>
      <c r="B23" s="148"/>
      <c r="C23" s="161"/>
      <c r="D23" s="148"/>
      <c r="E23" s="175">
        <v>2</v>
      </c>
      <c r="F23" s="153" t="s">
        <v>116</v>
      </c>
      <c r="G23" s="170" t="s">
        <v>232</v>
      </c>
      <c r="H23" s="199">
        <f t="shared" si="0"/>
        <v>2</v>
      </c>
      <c r="I23" s="350">
        <v>1000</v>
      </c>
      <c r="J23" s="172">
        <f t="shared" si="1"/>
        <v>2000</v>
      </c>
      <c r="K23" s="173">
        <f t="shared" si="2"/>
        <v>0.0054</v>
      </c>
      <c r="L23" s="354"/>
    </row>
    <row r="24" spans="1:12" ht="12.75">
      <c r="A24" s="176"/>
      <c r="B24" s="12"/>
      <c r="C24" s="161"/>
      <c r="D24" s="12"/>
      <c r="E24" s="175">
        <f>(N8+N9+N10+N11)*1.1</f>
        <v>163</v>
      </c>
      <c r="F24" s="153" t="s">
        <v>120</v>
      </c>
      <c r="G24" s="170" t="s">
        <v>233</v>
      </c>
      <c r="H24" s="175">
        <f t="shared" si="0"/>
        <v>163</v>
      </c>
      <c r="I24" s="200">
        <v>801.4</v>
      </c>
      <c r="J24" s="172">
        <f t="shared" si="1"/>
        <v>130628.2</v>
      </c>
      <c r="K24" s="173">
        <f t="shared" si="2"/>
        <v>0.3505</v>
      </c>
      <c r="L24" s="354"/>
    </row>
    <row r="25" spans="1:12" ht="12.75">
      <c r="A25" s="767">
        <v>82.26</v>
      </c>
      <c r="B25" s="12" t="s">
        <v>198</v>
      </c>
      <c r="C25" s="161" t="s">
        <v>139</v>
      </c>
      <c r="D25" s="153" t="s">
        <v>84</v>
      </c>
      <c r="E25" s="12" t="s">
        <v>88</v>
      </c>
      <c r="F25" s="153" t="s">
        <v>125</v>
      </c>
      <c r="G25" s="153" t="s">
        <v>199</v>
      </c>
      <c r="H25" s="166">
        <f>A25/100</f>
        <v>0.8226</v>
      </c>
      <c r="I25" s="161">
        <f>SUM(J19:J24)</f>
        <v>139589</v>
      </c>
      <c r="J25" s="177">
        <f>(I25*H25)</f>
        <v>114825.91</v>
      </c>
      <c r="K25" s="173">
        <f t="shared" si="2"/>
        <v>0.3081</v>
      </c>
      <c r="L25" s="354"/>
    </row>
    <row r="26" spans="1:12" ht="12.75">
      <c r="A26" s="176">
        <v>1</v>
      </c>
      <c r="B26" s="12" t="s">
        <v>200</v>
      </c>
      <c r="C26" s="159">
        <v>1</v>
      </c>
      <c r="D26" s="12" t="s">
        <v>87</v>
      </c>
      <c r="E26" s="159">
        <f>E19+E20+E21+E22+E23+E24</f>
        <v>171</v>
      </c>
      <c r="F26" s="153" t="s">
        <v>132</v>
      </c>
      <c r="G26" s="153" t="s">
        <v>201</v>
      </c>
      <c r="H26" s="159">
        <f aca="true" t="shared" si="3" ref="H26:H31">E26</f>
        <v>171</v>
      </c>
      <c r="I26" s="169">
        <v>114.4</v>
      </c>
      <c r="J26" s="177">
        <f>(+I26*H26)*A26/C26</f>
        <v>19562.4</v>
      </c>
      <c r="K26" s="173">
        <f t="shared" si="2"/>
        <v>0.0525</v>
      </c>
      <c r="L26" s="354"/>
    </row>
    <row r="27" spans="1:12" ht="12.75">
      <c r="A27" s="176">
        <v>1</v>
      </c>
      <c r="B27" s="12" t="s">
        <v>202</v>
      </c>
      <c r="C27" s="159">
        <v>6</v>
      </c>
      <c r="D27" s="12" t="s">
        <v>87</v>
      </c>
      <c r="E27" s="159">
        <f>E26</f>
        <v>171</v>
      </c>
      <c r="F27" s="153" t="s">
        <v>203</v>
      </c>
      <c r="G27" s="153" t="s">
        <v>204</v>
      </c>
      <c r="H27" s="159">
        <f t="shared" si="3"/>
        <v>171</v>
      </c>
      <c r="I27" s="255">
        <v>90</v>
      </c>
      <c r="J27" s="177">
        <f>(I27*H27*A27)/C27</f>
        <v>2565</v>
      </c>
      <c r="K27" s="173">
        <f t="shared" si="2"/>
        <v>0.0069</v>
      </c>
      <c r="L27" s="354"/>
    </row>
    <row r="28" spans="1:12" ht="12.75">
      <c r="A28" s="176">
        <v>1</v>
      </c>
      <c r="B28" s="12" t="s">
        <v>205</v>
      </c>
      <c r="C28" s="159">
        <v>1</v>
      </c>
      <c r="D28" s="12" t="s">
        <v>87</v>
      </c>
      <c r="E28" s="159">
        <f>E19+E20+E21+E22+E23+E24</f>
        <v>171</v>
      </c>
      <c r="F28" s="153" t="s">
        <v>206</v>
      </c>
      <c r="G28" s="153" t="s">
        <v>234</v>
      </c>
      <c r="H28" s="159">
        <f t="shared" si="3"/>
        <v>171</v>
      </c>
      <c r="I28" s="255">
        <v>28</v>
      </c>
      <c r="J28" s="177">
        <f>(+I28*H28)*A28*C28</f>
        <v>4788</v>
      </c>
      <c r="K28" s="173">
        <f t="shared" si="2"/>
        <v>0.0128</v>
      </c>
      <c r="L28" s="354"/>
    </row>
    <row r="29" spans="1:12" ht="12.75">
      <c r="A29" s="176">
        <v>1</v>
      </c>
      <c r="B29" s="12" t="s">
        <v>202</v>
      </c>
      <c r="C29" s="159">
        <v>1</v>
      </c>
      <c r="D29" s="12" t="s">
        <v>87</v>
      </c>
      <c r="E29" s="159">
        <f>E26</f>
        <v>171</v>
      </c>
      <c r="F29" s="153" t="s">
        <v>208</v>
      </c>
      <c r="G29" s="153" t="s">
        <v>209</v>
      </c>
      <c r="H29" s="159">
        <f t="shared" si="3"/>
        <v>171</v>
      </c>
      <c r="I29" s="255">
        <v>16</v>
      </c>
      <c r="J29" s="177">
        <f>(+I29*H29)*A29/C29</f>
        <v>2736</v>
      </c>
      <c r="K29" s="173">
        <f t="shared" si="2"/>
        <v>0.0073</v>
      </c>
      <c r="L29" s="354"/>
    </row>
    <row r="30" spans="1:12" ht="12.75">
      <c r="A30" s="176">
        <v>52</v>
      </c>
      <c r="B30" s="12" t="s">
        <v>202</v>
      </c>
      <c r="C30" s="161">
        <v>1</v>
      </c>
      <c r="D30" s="12" t="s">
        <v>87</v>
      </c>
      <c r="E30" s="159">
        <f>E26</f>
        <v>171</v>
      </c>
      <c r="F30" s="153" t="s">
        <v>210</v>
      </c>
      <c r="G30" s="153" t="s">
        <v>213</v>
      </c>
      <c r="H30" s="159">
        <f t="shared" si="3"/>
        <v>171</v>
      </c>
      <c r="I30" s="169">
        <v>2.1</v>
      </c>
      <c r="J30" s="177">
        <f>(I30*H30*A30)/C30</f>
        <v>18673.2</v>
      </c>
      <c r="K30" s="173"/>
      <c r="L30" s="354"/>
    </row>
    <row r="31" spans="1:12" ht="12.75">
      <c r="A31" s="176">
        <v>1</v>
      </c>
      <c r="B31" s="12" t="s">
        <v>202</v>
      </c>
      <c r="C31" s="161">
        <v>1</v>
      </c>
      <c r="D31" s="12" t="s">
        <v>87</v>
      </c>
      <c r="E31" s="159">
        <f>E27</f>
        <v>171</v>
      </c>
      <c r="F31" s="153" t="s">
        <v>212</v>
      </c>
      <c r="G31" s="153" t="s">
        <v>215</v>
      </c>
      <c r="H31" s="159">
        <f t="shared" si="3"/>
        <v>171</v>
      </c>
      <c r="I31" s="169">
        <f>I25</f>
        <v>139589</v>
      </c>
      <c r="J31" s="177">
        <f>(I31*0.06)*-1</f>
        <v>-8375.34</v>
      </c>
      <c r="K31" s="173"/>
      <c r="L31" s="354"/>
    </row>
    <row r="32" spans="1:12" ht="12.75">
      <c r="A32" s="176"/>
      <c r="B32" s="12"/>
      <c r="C32" s="159"/>
      <c r="D32" s="12"/>
      <c r="E32" s="159"/>
      <c r="F32" s="153"/>
      <c r="G32" s="153"/>
      <c r="H32" s="754"/>
      <c r="I32" s="756"/>
      <c r="J32" s="380"/>
      <c r="K32" s="173"/>
      <c r="L32" s="354"/>
    </row>
    <row r="33" spans="1:12" ht="12.75">
      <c r="A33" s="174"/>
      <c r="B33" s="148"/>
      <c r="C33" s="161"/>
      <c r="D33" s="148"/>
      <c r="E33" s="148"/>
      <c r="F33" s="170" t="s">
        <v>214</v>
      </c>
      <c r="G33" s="156" t="s">
        <v>445</v>
      </c>
      <c r="H33" s="749"/>
      <c r="I33" s="751"/>
      <c r="J33" s="380">
        <f>SUM(J19:J31)</f>
        <v>294364.17</v>
      </c>
      <c r="K33" s="173"/>
      <c r="L33" s="354"/>
    </row>
    <row r="34" spans="1:12" ht="12.75">
      <c r="A34" s="174"/>
      <c r="B34" s="148"/>
      <c r="C34" s="161"/>
      <c r="D34" s="148"/>
      <c r="E34" s="424"/>
      <c r="F34" s="170"/>
      <c r="G34" s="752"/>
      <c r="H34" s="753"/>
      <c r="I34" s="751"/>
      <c r="J34" s="750"/>
      <c r="K34" s="173"/>
      <c r="L34" s="354"/>
    </row>
    <row r="35" spans="1:12" ht="12.75">
      <c r="A35" s="760">
        <v>1.5</v>
      </c>
      <c r="B35" s="168" t="s">
        <v>198</v>
      </c>
      <c r="C35" s="161"/>
      <c r="D35" s="12"/>
      <c r="E35" s="424"/>
      <c r="F35" s="170" t="s">
        <v>480</v>
      </c>
      <c r="G35" s="226" t="s">
        <v>448</v>
      </c>
      <c r="H35" s="186">
        <f>A35/100</f>
        <v>0.015</v>
      </c>
      <c r="I35" s="246">
        <f>J33</f>
        <v>294364.17</v>
      </c>
      <c r="J35" s="172">
        <f>H35*I35</f>
        <v>4415.46</v>
      </c>
      <c r="K35" s="173">
        <f>J35/J$57</f>
        <v>0.0118</v>
      </c>
      <c r="L35" s="354"/>
    </row>
    <row r="36" spans="1:12" ht="12.75">
      <c r="A36" s="152"/>
      <c r="B36" s="148"/>
      <c r="C36" s="179"/>
      <c r="D36" s="148"/>
      <c r="E36" s="148"/>
      <c r="F36" s="148"/>
      <c r="G36" s="148"/>
      <c r="H36" s="148"/>
      <c r="I36" s="179"/>
      <c r="J36" s="187"/>
      <c r="K36" s="356"/>
      <c r="L36" s="354"/>
    </row>
    <row r="37" spans="1:12" ht="12.75">
      <c r="A37" s="141"/>
      <c r="B37" s="142"/>
      <c r="C37" s="144"/>
      <c r="D37" s="142"/>
      <c r="E37" s="142"/>
      <c r="F37" s="223" t="s">
        <v>216</v>
      </c>
      <c r="G37" s="218" t="s">
        <v>481</v>
      </c>
      <c r="H37" s="224"/>
      <c r="I37" s="224"/>
      <c r="J37" s="225">
        <f>SUM(J33:J35)</f>
        <v>298779.63</v>
      </c>
      <c r="K37" s="196">
        <f>J37/J$57</f>
        <v>0.8017</v>
      </c>
      <c r="L37" s="354"/>
    </row>
    <row r="38" spans="1:12" ht="12.75">
      <c r="A38" s="197"/>
      <c r="B38" s="113"/>
      <c r="C38" s="113"/>
      <c r="D38" s="113"/>
      <c r="E38" s="113"/>
      <c r="F38" s="154"/>
      <c r="G38" s="154"/>
      <c r="H38" s="154"/>
      <c r="I38" s="154"/>
      <c r="J38" s="127"/>
      <c r="K38" s="228"/>
      <c r="L38" s="354"/>
    </row>
    <row r="39" spans="1:12" ht="20.25">
      <c r="A39" s="229" t="s">
        <v>136</v>
      </c>
      <c r="B39" s="230"/>
      <c r="C39" s="230"/>
      <c r="D39" s="230"/>
      <c r="E39" s="230"/>
      <c r="F39" s="230"/>
      <c r="G39" s="230"/>
      <c r="H39" s="230"/>
      <c r="I39" s="230"/>
      <c r="J39" s="230"/>
      <c r="K39" s="192"/>
      <c r="L39" s="354"/>
    </row>
    <row r="40" spans="1:12" ht="20.25">
      <c r="A40" s="197"/>
      <c r="B40" s="113"/>
      <c r="C40" s="113"/>
      <c r="D40" s="113"/>
      <c r="E40" s="113"/>
      <c r="F40" s="113"/>
      <c r="G40" s="155"/>
      <c r="H40" s="113"/>
      <c r="I40" s="113"/>
      <c r="J40" s="113"/>
      <c r="K40" s="97"/>
      <c r="L40" s="354"/>
    </row>
    <row r="41" spans="1:12" ht="12.75">
      <c r="A41" s="188"/>
      <c r="B41" s="134"/>
      <c r="C41" s="133"/>
      <c r="D41" s="133"/>
      <c r="E41" s="133"/>
      <c r="F41" s="231"/>
      <c r="G41" s="182"/>
      <c r="H41" s="15"/>
      <c r="I41" s="135" t="s">
        <v>64</v>
      </c>
      <c r="J41" s="136"/>
      <c r="K41" s="117"/>
      <c r="L41" s="354"/>
    </row>
    <row r="42" spans="1:12" ht="12.75">
      <c r="A42" s="197"/>
      <c r="B42" s="233"/>
      <c r="C42" s="12" t="s">
        <v>75</v>
      </c>
      <c r="D42" s="12" t="s">
        <v>67</v>
      </c>
      <c r="E42" s="12" t="s">
        <v>69</v>
      </c>
      <c r="F42" s="815" t="s">
        <v>70</v>
      </c>
      <c r="G42" s="816"/>
      <c r="H42" s="12" t="s">
        <v>71</v>
      </c>
      <c r="I42" s="12" t="s">
        <v>72</v>
      </c>
      <c r="J42" s="138" t="s">
        <v>73</v>
      </c>
      <c r="K42" s="117"/>
      <c r="L42" s="354"/>
    </row>
    <row r="43" spans="1:12" ht="12.75">
      <c r="A43" s="197"/>
      <c r="B43" s="233"/>
      <c r="C43" s="142"/>
      <c r="D43" s="142"/>
      <c r="E43" s="142"/>
      <c r="F43" s="145"/>
      <c r="G43" s="126"/>
      <c r="H43" s="150"/>
      <c r="I43" s="144" t="s">
        <v>74</v>
      </c>
      <c r="J43" s="145"/>
      <c r="K43" s="234"/>
      <c r="L43" s="354"/>
    </row>
    <row r="44" spans="1:12" ht="12.75">
      <c r="A44" s="197"/>
      <c r="B44" s="233"/>
      <c r="C44" s="148"/>
      <c r="D44" s="148"/>
      <c r="E44" s="153" t="s">
        <v>146</v>
      </c>
      <c r="F44" s="181" t="s">
        <v>482</v>
      </c>
      <c r="G44" s="106"/>
      <c r="H44" s="235"/>
      <c r="I44" s="161">
        <f>J37</f>
        <v>298779.63</v>
      </c>
      <c r="J44" s="236">
        <f>J37</f>
        <v>298779.63</v>
      </c>
      <c r="K44" s="117"/>
      <c r="L44" s="354"/>
    </row>
    <row r="45" spans="1:12" ht="12.75">
      <c r="A45" s="197"/>
      <c r="B45" s="233"/>
      <c r="C45" s="706"/>
      <c r="D45" s="12"/>
      <c r="E45" s="153"/>
      <c r="F45" s="226"/>
      <c r="G45" s="227"/>
      <c r="H45" s="160"/>
      <c r="I45" s="179"/>
      <c r="J45" s="177"/>
      <c r="K45" s="173"/>
      <c r="L45" s="354"/>
    </row>
    <row r="46" spans="1:12" ht="12.75">
      <c r="A46" s="197"/>
      <c r="B46" s="233"/>
      <c r="C46" s="237">
        <v>5.5</v>
      </c>
      <c r="D46" s="12" t="s">
        <v>51</v>
      </c>
      <c r="E46" s="153" t="s">
        <v>149</v>
      </c>
      <c r="F46" s="226" t="s">
        <v>138</v>
      </c>
      <c r="G46" s="227"/>
      <c r="H46" s="160">
        <f>(C46/100)</f>
        <v>0.055</v>
      </c>
      <c r="I46" s="179"/>
      <c r="J46" s="177">
        <f>(+J44*H46)</f>
        <v>16432.88</v>
      </c>
      <c r="K46" s="173">
        <f>J46/J$57</f>
        <v>0.0441</v>
      </c>
      <c r="L46" s="354"/>
    </row>
    <row r="47" spans="1:12" ht="12.75">
      <c r="A47" s="197"/>
      <c r="B47" s="233"/>
      <c r="C47" s="161" t="s">
        <v>139</v>
      </c>
      <c r="D47" s="148"/>
      <c r="E47" s="148"/>
      <c r="F47" s="156"/>
      <c r="G47" s="113"/>
      <c r="H47" s="160"/>
      <c r="I47" s="161"/>
      <c r="J47" s="177"/>
      <c r="K47" s="238"/>
      <c r="L47" s="354"/>
    </row>
    <row r="48" spans="1:12" ht="12.75">
      <c r="A48" s="197"/>
      <c r="B48" s="233"/>
      <c r="C48" s="245"/>
      <c r="D48" s="148"/>
      <c r="E48" s="153" t="s">
        <v>152</v>
      </c>
      <c r="F48" s="226" t="s">
        <v>424</v>
      </c>
      <c r="G48" s="113"/>
      <c r="H48" s="160"/>
      <c r="I48" s="179"/>
      <c r="J48" s="177">
        <f>SUM(J44:J46)</f>
        <v>315212.51</v>
      </c>
      <c r="K48" s="173"/>
      <c r="L48" s="354"/>
    </row>
    <row r="49" spans="1:12" ht="12.75">
      <c r="A49" s="197"/>
      <c r="B49" s="233"/>
      <c r="C49" s="161">
        <v>0</v>
      </c>
      <c r="D49" s="12" t="s">
        <v>51</v>
      </c>
      <c r="E49" s="153" t="s">
        <v>154</v>
      </c>
      <c r="F49" s="226" t="s">
        <v>142</v>
      </c>
      <c r="G49" s="227"/>
      <c r="H49" s="160">
        <f>(C49/100)</f>
        <v>0</v>
      </c>
      <c r="I49" s="246">
        <f>J48</f>
        <v>315212.51</v>
      </c>
      <c r="J49" s="177">
        <f>(+J48*H49)</f>
        <v>0</v>
      </c>
      <c r="K49" s="173">
        <f>J49/J$57</f>
        <v>0</v>
      </c>
      <c r="L49" s="354"/>
    </row>
    <row r="50" spans="1:12" ht="12.75">
      <c r="A50" s="197"/>
      <c r="B50" s="233"/>
      <c r="C50" s="161" t="s">
        <v>139</v>
      </c>
      <c r="D50" s="148"/>
      <c r="E50" s="148"/>
      <c r="F50" s="156"/>
      <c r="G50" s="113"/>
      <c r="H50" s="160"/>
      <c r="I50" s="161"/>
      <c r="J50" s="177"/>
      <c r="K50" s="238"/>
      <c r="L50" s="354"/>
    </row>
    <row r="51" spans="1:12" ht="12.75">
      <c r="A51" s="197"/>
      <c r="B51" s="233"/>
      <c r="C51" s="161" t="s">
        <v>139</v>
      </c>
      <c r="D51" s="148"/>
      <c r="E51" s="153" t="s">
        <v>155</v>
      </c>
      <c r="F51" s="226" t="s">
        <v>425</v>
      </c>
      <c r="G51" s="113"/>
      <c r="H51" s="160"/>
      <c r="I51" s="179"/>
      <c r="J51" s="177">
        <f>SUM(J48:J49)</f>
        <v>315212.51</v>
      </c>
      <c r="K51" s="238"/>
      <c r="L51" s="354"/>
    </row>
    <row r="52" spans="1:12" ht="12.75">
      <c r="A52" s="197"/>
      <c r="B52" s="233"/>
      <c r="C52" s="237">
        <v>9</v>
      </c>
      <c r="D52" s="12" t="s">
        <v>51</v>
      </c>
      <c r="E52" s="153" t="s">
        <v>156</v>
      </c>
      <c r="F52" s="226" t="s">
        <v>427</v>
      </c>
      <c r="G52" s="227"/>
      <c r="H52" s="160">
        <f>(C52/100)</f>
        <v>0.09</v>
      </c>
      <c r="I52" s="246">
        <f>J51</f>
        <v>315212.51</v>
      </c>
      <c r="J52" s="177">
        <f>(+J51*H52)</f>
        <v>28369.13</v>
      </c>
      <c r="K52" s="173">
        <f>J52/J$57</f>
        <v>0.0761</v>
      </c>
      <c r="L52" s="354"/>
    </row>
    <row r="53" spans="1:12" ht="12.75">
      <c r="A53" s="197"/>
      <c r="B53" s="233"/>
      <c r="C53" s="161" t="s">
        <v>139</v>
      </c>
      <c r="D53" s="148"/>
      <c r="E53" s="148"/>
      <c r="F53" s="156"/>
      <c r="G53" s="113"/>
      <c r="H53" s="160"/>
      <c r="I53" s="179"/>
      <c r="J53" s="177"/>
      <c r="K53" s="238"/>
      <c r="L53" s="354"/>
    </row>
    <row r="54" spans="1:12" ht="12.75">
      <c r="A54" s="197"/>
      <c r="B54" s="233"/>
      <c r="C54" s="161" t="s">
        <v>139</v>
      </c>
      <c r="D54" s="148"/>
      <c r="E54" s="153" t="s">
        <v>158</v>
      </c>
      <c r="F54" s="226" t="s">
        <v>162</v>
      </c>
      <c r="G54" s="113"/>
      <c r="H54" s="160"/>
      <c r="I54" s="179"/>
      <c r="J54" s="177">
        <f>SUM(J51:J52)</f>
        <v>343581.64</v>
      </c>
      <c r="K54" s="238"/>
      <c r="L54" s="354"/>
    </row>
    <row r="55" spans="1:12" ht="12.75">
      <c r="A55" s="197"/>
      <c r="B55" s="233"/>
      <c r="C55" s="255">
        <f>(15%*C52)+(9%*C52)+3.65+2</f>
        <v>7.81</v>
      </c>
      <c r="D55" s="12" t="s">
        <v>51</v>
      </c>
      <c r="E55" s="153" t="s">
        <v>165</v>
      </c>
      <c r="F55" s="226" t="s">
        <v>151</v>
      </c>
      <c r="G55" s="227"/>
      <c r="H55" s="160">
        <f>(C55/100)</f>
        <v>0.0781</v>
      </c>
      <c r="I55" s="179"/>
      <c r="J55" s="177">
        <f>(+J57*H55)</f>
        <v>29106.98</v>
      </c>
      <c r="K55" s="173">
        <f>J55/J$57</f>
        <v>0.0781</v>
      </c>
      <c r="L55" s="354"/>
    </row>
    <row r="56" spans="1:12" ht="12.75">
      <c r="A56" s="197"/>
      <c r="B56" s="233"/>
      <c r="C56" s="161" t="s">
        <v>139</v>
      </c>
      <c r="D56" s="148"/>
      <c r="E56" s="148"/>
      <c r="F56" s="156"/>
      <c r="G56" s="113"/>
      <c r="H56" s="179"/>
      <c r="I56" s="179"/>
      <c r="J56" s="177"/>
      <c r="K56" s="238"/>
      <c r="L56" s="354"/>
    </row>
    <row r="57" spans="1:12" ht="16.5" thickBot="1">
      <c r="A57" s="260"/>
      <c r="B57" s="261"/>
      <c r="C57" s="262" t="s">
        <v>139</v>
      </c>
      <c r="D57" s="263"/>
      <c r="E57" s="264" t="s">
        <v>161</v>
      </c>
      <c r="F57" s="265" t="s">
        <v>426</v>
      </c>
      <c r="G57" s="266"/>
      <c r="H57" s="266"/>
      <c r="I57" s="266"/>
      <c r="J57" s="357">
        <f>J54/(1-H55)</f>
        <v>372688.62</v>
      </c>
      <c r="K57" s="268">
        <f>J57/J$57</f>
        <v>1</v>
      </c>
      <c r="L57" s="354"/>
    </row>
    <row r="59" ht="15.75">
      <c r="A59" s="69" t="s">
        <v>169</v>
      </c>
    </row>
    <row r="61" spans="1:7" ht="15.75">
      <c r="A61" s="69" t="str">
        <f>'Trator de Esteira'!A61</f>
        <v>Patos de Minas-MG, 16 de Novembro de 2015.</v>
      </c>
      <c r="G61" s="13"/>
    </row>
    <row r="62" spans="7:9" ht="15">
      <c r="G62" s="11"/>
      <c r="H62" s="11"/>
      <c r="I62" s="11"/>
    </row>
    <row r="63" spans="1:10" ht="12">
      <c r="A63" s="275"/>
      <c r="B63" s="275"/>
      <c r="C63" s="275"/>
      <c r="D63" s="275"/>
      <c r="E63" s="275"/>
      <c r="F63" s="275"/>
      <c r="G63" s="275"/>
      <c r="H63" s="275"/>
      <c r="I63" s="275"/>
      <c r="J63" s="275"/>
    </row>
    <row r="67" ht="12">
      <c r="C67" s="358"/>
    </row>
    <row r="87" ht="2.25" customHeight="1"/>
    <row r="88" ht="12.75" customHeight="1"/>
    <row r="89" ht="0.75" customHeight="1"/>
    <row r="114" ht="12.75">
      <c r="L114" s="276"/>
    </row>
    <row r="115" ht="12.75">
      <c r="L115" s="276"/>
    </row>
    <row r="116" ht="12.75">
      <c r="L116" s="276"/>
    </row>
    <row r="117" ht="12.75">
      <c r="L117" s="276"/>
    </row>
    <row r="118" ht="12.75">
      <c r="L118" s="2"/>
    </row>
    <row r="119" spans="1:11" ht="12.75">
      <c r="A119" s="276"/>
      <c r="B119" s="276"/>
      <c r="C119" s="276"/>
      <c r="D119" s="276"/>
      <c r="E119" s="280"/>
      <c r="F119" s="280"/>
      <c r="G119" s="280"/>
      <c r="H119" s="280"/>
      <c r="I119" s="280"/>
      <c r="J119" s="280"/>
      <c r="K119" s="280"/>
    </row>
    <row r="120" spans="1:12" ht="12.75">
      <c r="A120" s="276"/>
      <c r="B120" s="276"/>
      <c r="C120" s="276"/>
      <c r="D120" s="276"/>
      <c r="E120" s="276"/>
      <c r="F120" s="276"/>
      <c r="G120" s="276"/>
      <c r="H120" s="276"/>
      <c r="I120" s="276"/>
      <c r="J120" s="281"/>
      <c r="K120" s="281"/>
      <c r="L120" s="178"/>
    </row>
    <row r="121" spans="1:11" ht="12.75">
      <c r="A121" s="276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</row>
    <row r="122" spans="1:11" ht="12.75">
      <c r="A122" s="276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</row>
    <row r="123" spans="1:11" ht="12.75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</row>
    <row r="124" spans="1:11" ht="12.7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</row>
    <row r="125" spans="1:12" ht="12.75">
      <c r="A125" s="2"/>
      <c r="B125" s="2"/>
      <c r="C125" s="2"/>
      <c r="D125" s="2"/>
      <c r="E125" s="282"/>
      <c r="F125" s="2"/>
      <c r="G125" s="2"/>
      <c r="H125" s="2"/>
      <c r="I125" s="2"/>
      <c r="J125" s="2"/>
      <c r="K125" s="2"/>
      <c r="L125" s="4"/>
    </row>
    <row r="126" spans="1:12" ht="12.75">
      <c r="A126" s="2"/>
      <c r="B126" s="2"/>
      <c r="C126" s="2"/>
      <c r="D126" s="2"/>
      <c r="E126" s="283"/>
      <c r="F126" s="283"/>
      <c r="G126" s="283"/>
      <c r="H126" s="283"/>
      <c r="I126" s="2"/>
      <c r="J126" s="2"/>
      <c r="K126" s="2"/>
      <c r="L126" s="4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4"/>
    </row>
    <row r="128" spans="1:12" ht="12.75">
      <c r="A128" s="283"/>
      <c r="B128" s="283"/>
      <c r="C128" s="283"/>
      <c r="D128" s="283"/>
      <c r="E128" s="283"/>
      <c r="F128" s="283"/>
      <c r="G128" s="283"/>
      <c r="H128" s="283"/>
      <c r="I128" s="283"/>
      <c r="J128" s="283"/>
      <c r="K128" s="283"/>
      <c r="L128" s="4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4"/>
    </row>
    <row r="131" spans="1:12" ht="12.75">
      <c r="A131" s="2"/>
      <c r="B131" s="5"/>
      <c r="C131" s="2"/>
      <c r="D131" s="279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5"/>
      <c r="C134" s="2"/>
      <c r="D134" s="279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1:12" ht="1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">
      <c r="A137" s="4"/>
      <c r="B137" s="6"/>
      <c r="C137" s="4"/>
      <c r="D137" s="284"/>
      <c r="E137" s="4"/>
      <c r="F137" s="4"/>
      <c r="G137" s="4"/>
      <c r="H137" s="4"/>
      <c r="I137" s="4"/>
      <c r="J137" s="4"/>
      <c r="K137" s="4"/>
      <c r="L137" s="4"/>
    </row>
    <row r="138" spans="1:12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4"/>
    </row>
    <row r="141" spans="1:12" ht="12">
      <c r="A141" s="4"/>
      <c r="B141" s="4"/>
      <c r="C141" s="6"/>
      <c r="D141" s="4"/>
      <c r="E141" s="4"/>
      <c r="F141" s="4"/>
      <c r="G141" s="285"/>
      <c r="H141" s="285"/>
      <c r="L141" s="4"/>
    </row>
    <row r="142" spans="1:12" ht="12">
      <c r="A142" s="7"/>
      <c r="B142" s="7"/>
      <c r="C142" s="7"/>
      <c r="D142" s="7"/>
      <c r="E142" s="7"/>
      <c r="F142" s="7"/>
      <c r="G142" s="7"/>
      <c r="H142" s="7"/>
      <c r="L142" s="4"/>
    </row>
    <row r="143" spans="1:12" ht="12">
      <c r="A143" s="4"/>
      <c r="B143" s="4"/>
      <c r="C143" s="4"/>
      <c r="D143" s="4"/>
      <c r="E143" s="4"/>
      <c r="F143" s="4"/>
      <c r="G143" s="4"/>
      <c r="H143" s="4"/>
      <c r="L143" s="4"/>
    </row>
    <row r="144" spans="1:12" ht="12">
      <c r="A144" s="4"/>
      <c r="B144" s="4"/>
      <c r="C144" s="4"/>
      <c r="D144" s="4"/>
      <c r="E144" s="4"/>
      <c r="F144" s="4"/>
      <c r="G144" s="4"/>
      <c r="H144" s="4"/>
      <c r="L144" s="4"/>
    </row>
    <row r="145" spans="2:12" ht="12">
      <c r="B145" s="286"/>
      <c r="C145" s="287"/>
      <c r="G145" s="288"/>
      <c r="H145" s="287"/>
      <c r="L145" s="4"/>
    </row>
    <row r="146" spans="7:12" ht="12">
      <c r="G146" s="289"/>
      <c r="L146" s="4"/>
    </row>
    <row r="147" spans="7:12" ht="12">
      <c r="G147" s="289"/>
      <c r="L147" s="4"/>
    </row>
    <row r="148" spans="2:12" ht="12">
      <c r="B148" s="286"/>
      <c r="C148" s="287"/>
      <c r="G148" s="288"/>
      <c r="H148" s="287"/>
      <c r="L148" s="4"/>
    </row>
    <row r="149" spans="7:12" ht="12">
      <c r="G149" s="29"/>
      <c r="L149" s="4"/>
    </row>
    <row r="150" spans="7:12" ht="12">
      <c r="G150" s="29"/>
      <c r="L150" s="4"/>
    </row>
    <row r="151" spans="2:12" ht="12">
      <c r="B151" s="3"/>
      <c r="C151" s="290"/>
      <c r="G151" s="288"/>
      <c r="H151" s="287"/>
      <c r="L151" s="4"/>
    </row>
    <row r="152" spans="7:12" ht="12">
      <c r="G152" s="29"/>
      <c r="L152" s="4"/>
    </row>
    <row r="153" spans="7:12" ht="12">
      <c r="G153" s="29"/>
      <c r="L153" s="4"/>
    </row>
    <row r="154" spans="2:12" ht="12">
      <c r="B154" s="3"/>
      <c r="C154" s="291"/>
      <c r="G154" s="288"/>
      <c r="H154" s="292"/>
      <c r="L154" s="4"/>
    </row>
    <row r="155" spans="10:12" ht="12">
      <c r="J155" s="4"/>
      <c r="K155" s="4"/>
      <c r="L155" s="4"/>
    </row>
    <row r="156" spans="1:12" ht="12">
      <c r="A156" s="293"/>
      <c r="B156" s="293"/>
      <c r="C156" s="293"/>
      <c r="D156" s="293"/>
      <c r="E156" s="293"/>
      <c r="F156" s="293"/>
      <c r="G156" s="293"/>
      <c r="H156" s="293"/>
      <c r="I156" s="293"/>
      <c r="J156" s="7"/>
      <c r="K156" s="7"/>
      <c r="L156" s="4"/>
    </row>
    <row r="157" spans="10:12" ht="12">
      <c r="J157" s="4"/>
      <c r="K157" s="4"/>
      <c r="L157" s="4"/>
    </row>
    <row r="158" spans="2:12" ht="12">
      <c r="B158" s="286"/>
      <c r="D158" s="292"/>
      <c r="J158" s="4"/>
      <c r="K158" s="4"/>
      <c r="L158" s="4"/>
    </row>
    <row r="159" spans="10:12" ht="12">
      <c r="J159" s="4"/>
      <c r="K159" s="4"/>
      <c r="L159" s="4"/>
    </row>
    <row r="160" spans="1:12" ht="12">
      <c r="A160" s="293"/>
      <c r="B160" s="293"/>
      <c r="C160" s="293"/>
      <c r="D160" s="293"/>
      <c r="E160" s="293"/>
      <c r="F160" s="293"/>
      <c r="G160" s="293"/>
      <c r="H160" s="293"/>
      <c r="I160" s="293"/>
      <c r="J160" s="7"/>
      <c r="K160" s="7"/>
      <c r="L160" s="4"/>
    </row>
    <row r="161" spans="1:12" ht="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</sheetData>
  <sheetProtection password="F184" sheet="1"/>
  <mergeCells count="3">
    <mergeCell ref="A1:K1"/>
    <mergeCell ref="A5:J5"/>
    <mergeCell ref="F42:G42"/>
  </mergeCells>
  <printOptions horizontalCentered="1" verticalCentered="1"/>
  <pageMargins left="0" right="0" top="0.3937007874015748" bottom="0.1968503937007874" header="0.31496062992125984" footer="0.31496062992125984"/>
  <pageSetup horizontalDpi="600" verticalDpi="600" orientation="portrait" paperSize="9" scale="70" r:id="rId1"/>
  <headerFooter alignWithMargins="0">
    <oddHeader>&amp;CPágina &amp;P de &amp;N</oddHeader>
  </headerFooter>
  <ignoredErrors>
    <ignoredError sqref="N1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66"/>
  <sheetViews>
    <sheetView zoomScalePageLayoutView="0" workbookViewId="0" topLeftCell="A2">
      <selection activeCell="D33" sqref="D33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2" width="11.00390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834" t="s">
        <v>48</v>
      </c>
      <c r="B1" s="835"/>
      <c r="C1" s="835"/>
      <c r="D1" s="835"/>
      <c r="E1" s="835"/>
      <c r="F1" s="835"/>
      <c r="G1" s="835"/>
      <c r="H1" s="835"/>
      <c r="I1" s="835"/>
      <c r="J1" s="835"/>
      <c r="K1" s="836"/>
      <c r="L1" s="84"/>
      <c r="M1" s="820" t="str">
        <f>A1</f>
        <v>CUSTO   DE   CAMINHÃO   BASCULANTE   ATERRO   SANITÁRIO</v>
      </c>
      <c r="N1" s="821"/>
      <c r="O1" s="821"/>
      <c r="P1" s="821"/>
      <c r="Q1" s="821"/>
      <c r="R1" s="821"/>
      <c r="S1" s="821"/>
      <c r="T1" s="821"/>
      <c r="U1" s="821"/>
      <c r="V1" s="821"/>
      <c r="W1" s="822"/>
    </row>
    <row r="2" spans="1:23" ht="20.25">
      <c r="A2" s="85" t="s">
        <v>49</v>
      </c>
      <c r="B2" s="86"/>
      <c r="C2" s="87"/>
      <c r="D2" s="86"/>
      <c r="E2" s="86"/>
      <c r="F2" s="86"/>
      <c r="G2" s="88"/>
      <c r="H2" s="86"/>
      <c r="I2" s="86"/>
      <c r="J2" s="86"/>
      <c r="K2" s="89"/>
      <c r="L2" s="84"/>
      <c r="M2" s="90" t="str">
        <f>A2</f>
        <v>DEMONSTRATIVO MENSAL DE CUSTO OPERACIONAL UNITÁRIO DE VEÍCULO </v>
      </c>
      <c r="N2" s="91"/>
      <c r="O2" s="91"/>
      <c r="P2" s="91"/>
      <c r="Q2" s="91"/>
      <c r="R2" s="91"/>
      <c r="S2" s="92"/>
      <c r="T2" s="91"/>
      <c r="U2" s="91"/>
      <c r="V2" s="91"/>
      <c r="W2" s="93"/>
    </row>
    <row r="3" spans="1:23" ht="21" thickBot="1">
      <c r="A3" s="94" t="s">
        <v>50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  <c r="L3" s="84"/>
      <c r="M3" s="98" t="s">
        <v>52</v>
      </c>
      <c r="N3" s="99"/>
      <c r="O3" s="99"/>
      <c r="P3" s="99"/>
      <c r="Q3" s="99"/>
      <c r="R3" s="99"/>
      <c r="S3" s="99"/>
      <c r="T3" s="99"/>
      <c r="U3" s="99"/>
      <c r="V3" s="99"/>
      <c r="W3" s="100" t="s">
        <v>51</v>
      </c>
    </row>
    <row r="4" spans="1:23" ht="12.7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84"/>
      <c r="M4" s="104" t="str">
        <f>A6</f>
        <v>Descrição do Veiculo: CAMINHÃO   BASCULANTE   -   Tipo   MBB 1618  ou   SIMILAR</v>
      </c>
      <c r="N4" s="105"/>
      <c r="O4" s="105"/>
      <c r="P4" s="105"/>
      <c r="Q4" s="105"/>
      <c r="R4" s="105"/>
      <c r="S4" s="105"/>
      <c r="T4" s="105"/>
      <c r="U4" s="105"/>
      <c r="V4" s="106"/>
      <c r="W4" s="107"/>
    </row>
    <row r="5" spans="1:23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  <c r="L5" s="84"/>
      <c r="M5" s="109" t="str">
        <f>A7</f>
        <v>Ano de Fabricação: 2005</v>
      </c>
      <c r="N5" s="110"/>
      <c r="O5" s="110" t="str">
        <f>A9</f>
        <v>Contratante:</v>
      </c>
      <c r="P5" s="111" t="str">
        <f>B9</f>
        <v>PREFEITURA   MUNICIPAL   DE   PATOS   DE   MINAS - MG</v>
      </c>
      <c r="Q5" s="112"/>
      <c r="R5" s="110"/>
      <c r="S5" s="110"/>
      <c r="T5" s="110"/>
      <c r="U5" s="110"/>
      <c r="V5" s="113"/>
      <c r="W5" s="103"/>
    </row>
    <row r="6" spans="1:23" ht="12.75">
      <c r="A6" s="104" t="s">
        <v>54</v>
      </c>
      <c r="B6" s="105"/>
      <c r="C6" s="105"/>
      <c r="D6" s="105"/>
      <c r="E6" s="114"/>
      <c r="F6" s="105"/>
      <c r="G6" s="105"/>
      <c r="H6" s="105"/>
      <c r="I6" s="105"/>
      <c r="J6" s="106"/>
      <c r="K6" s="115"/>
      <c r="L6" s="84"/>
      <c r="M6" s="109" t="str">
        <f>A8</f>
        <v>Tipo de Combustível: Diesel</v>
      </c>
      <c r="N6" s="110"/>
      <c r="O6" s="110"/>
      <c r="P6" s="110"/>
      <c r="Q6" s="116"/>
      <c r="R6" s="110"/>
      <c r="S6" s="110"/>
      <c r="T6" s="110"/>
      <c r="U6" s="110"/>
      <c r="V6" s="113"/>
      <c r="W6" s="103"/>
    </row>
    <row r="7" spans="1:23" ht="12.75">
      <c r="A7" s="109" t="s">
        <v>55</v>
      </c>
      <c r="B7" s="110"/>
      <c r="C7" s="110"/>
      <c r="D7" s="110"/>
      <c r="E7" s="110"/>
      <c r="F7" s="110"/>
      <c r="G7" s="110"/>
      <c r="H7" s="110"/>
      <c r="I7" s="110"/>
      <c r="J7" s="113"/>
      <c r="K7" s="117"/>
      <c r="L7" s="84"/>
      <c r="M7" s="118" t="str">
        <f>A10</f>
        <v>Km Estimada: </v>
      </c>
      <c r="N7" s="113"/>
      <c r="O7" s="119">
        <f>C10</f>
        <v>2000</v>
      </c>
      <c r="P7" s="113" t="str">
        <f>D10</f>
        <v>Km</v>
      </c>
      <c r="Q7" s="113"/>
      <c r="R7" s="113"/>
      <c r="S7" s="113"/>
      <c r="T7" s="113"/>
      <c r="U7" s="113"/>
      <c r="V7" s="113"/>
      <c r="W7" s="103"/>
    </row>
    <row r="8" spans="1:23" ht="12.75">
      <c r="A8" s="109" t="s">
        <v>56</v>
      </c>
      <c r="B8" s="110"/>
      <c r="C8" s="110"/>
      <c r="D8" s="110"/>
      <c r="E8" s="110"/>
      <c r="F8" s="110"/>
      <c r="G8" s="110"/>
      <c r="H8" s="110" t="s">
        <v>57</v>
      </c>
      <c r="I8" s="120">
        <v>0</v>
      </c>
      <c r="J8" s="113"/>
      <c r="K8" s="117"/>
      <c r="L8" s="84"/>
      <c r="M8" s="121" t="str">
        <f>A11</f>
        <v>Horário:</v>
      </c>
      <c r="N8" s="122">
        <v>0.333333333333333</v>
      </c>
      <c r="O8" s="123" t="s">
        <v>58</v>
      </c>
      <c r="P8" s="122">
        <f>D11</f>
        <v>0.833333333333333</v>
      </c>
      <c r="Q8" s="124" t="s">
        <v>59</v>
      </c>
      <c r="R8" s="125"/>
      <c r="S8" s="126"/>
      <c r="T8" s="126"/>
      <c r="U8" s="126"/>
      <c r="V8" s="126"/>
      <c r="W8" s="103"/>
    </row>
    <row r="9" spans="1:23" ht="15.75">
      <c r="A9" s="109" t="s">
        <v>60</v>
      </c>
      <c r="B9" s="111" t="s">
        <v>61</v>
      </c>
      <c r="C9" s="110"/>
      <c r="D9" s="110"/>
      <c r="E9" s="110"/>
      <c r="F9" s="110"/>
      <c r="G9" s="110"/>
      <c r="H9" s="110"/>
      <c r="I9" s="120"/>
      <c r="J9" s="113"/>
      <c r="K9" s="117"/>
      <c r="L9" s="84"/>
      <c r="M9" s="118"/>
      <c r="N9" s="127"/>
      <c r="O9" s="128"/>
      <c r="P9" s="127"/>
      <c r="Q9" s="129"/>
      <c r="R9" s="127"/>
      <c r="S9" s="113"/>
      <c r="T9" s="113"/>
      <c r="U9" s="113"/>
      <c r="V9" s="113"/>
      <c r="W9" s="103"/>
    </row>
    <row r="10" spans="1:28" ht="12.75">
      <c r="A10" s="109" t="s">
        <v>62</v>
      </c>
      <c r="B10" s="130"/>
      <c r="C10" s="131">
        <v>2000</v>
      </c>
      <c r="D10" s="110" t="s">
        <v>63</v>
      </c>
      <c r="E10" s="130"/>
      <c r="F10" s="130"/>
      <c r="G10" s="113"/>
      <c r="H10" s="113"/>
      <c r="I10" s="113"/>
      <c r="J10" s="113"/>
      <c r="K10" s="117"/>
      <c r="L10" s="84"/>
      <c r="M10" s="132"/>
      <c r="N10" s="133"/>
      <c r="O10" s="133"/>
      <c r="P10" s="133"/>
      <c r="Q10" s="133"/>
      <c r="R10" s="106"/>
      <c r="S10" s="134"/>
      <c r="T10" s="133"/>
      <c r="U10" s="135" t="s">
        <v>64</v>
      </c>
      <c r="V10" s="136"/>
      <c r="W10" s="103"/>
      <c r="AB10" s="1">
        <f>180.55*20</f>
        <v>3611</v>
      </c>
    </row>
    <row r="11" spans="1:28" ht="12.75">
      <c r="A11" s="121" t="s">
        <v>65</v>
      </c>
      <c r="B11" s="137">
        <v>0.333333333333333</v>
      </c>
      <c r="C11" s="123" t="s">
        <v>58</v>
      </c>
      <c r="D11" s="137">
        <v>0.833333333333333</v>
      </c>
      <c r="E11" s="124" t="s">
        <v>59</v>
      </c>
      <c r="F11" s="125"/>
      <c r="G11" s="126"/>
      <c r="H11" s="126"/>
      <c r="I11" s="126"/>
      <c r="J11" s="126"/>
      <c r="K11" s="117"/>
      <c r="L11" s="84"/>
      <c r="M11" s="16" t="s">
        <v>66</v>
      </c>
      <c r="N11" s="12" t="s">
        <v>67</v>
      </c>
      <c r="O11" s="12" t="s">
        <v>68</v>
      </c>
      <c r="P11" s="12" t="s">
        <v>67</v>
      </c>
      <c r="Q11" s="12" t="s">
        <v>69</v>
      </c>
      <c r="R11" s="815" t="s">
        <v>70</v>
      </c>
      <c r="S11" s="816"/>
      <c r="T11" s="12" t="s">
        <v>71</v>
      </c>
      <c r="U11" s="12" t="s">
        <v>72</v>
      </c>
      <c r="V11" s="138" t="s">
        <v>73</v>
      </c>
      <c r="W11" s="103"/>
      <c r="AB11" s="1">
        <f>1120.82*4</f>
        <v>4483.28</v>
      </c>
    </row>
    <row r="12" spans="1:23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  <c r="L12" s="84"/>
      <c r="M12" s="141"/>
      <c r="N12" s="142"/>
      <c r="O12" s="142"/>
      <c r="P12" s="142"/>
      <c r="Q12" s="142"/>
      <c r="R12" s="126"/>
      <c r="S12" s="143"/>
      <c r="T12" s="142"/>
      <c r="U12" s="144" t="s">
        <v>74</v>
      </c>
      <c r="V12" s="145"/>
      <c r="W12" s="146"/>
    </row>
    <row r="13" spans="1:28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  <c r="L13" s="84"/>
      <c r="M13" s="132"/>
      <c r="N13" s="133"/>
      <c r="O13" s="133"/>
      <c r="P13" s="148"/>
      <c r="Q13" s="148"/>
      <c r="R13" s="113"/>
      <c r="S13" s="113"/>
      <c r="T13" s="133"/>
      <c r="U13" s="148"/>
      <c r="V13" s="136"/>
      <c r="W13" s="103"/>
      <c r="AB13" s="1">
        <f>SUM(AB10:AB12)</f>
        <v>8094.28</v>
      </c>
    </row>
    <row r="14" spans="1:23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  <c r="L14" s="84"/>
      <c r="M14" s="152"/>
      <c r="N14" s="148"/>
      <c r="O14" s="148"/>
      <c r="P14" s="148"/>
      <c r="Q14" s="153" t="s">
        <v>77</v>
      </c>
      <c r="R14" s="154" t="s">
        <v>78</v>
      </c>
      <c r="S14" s="155"/>
      <c r="T14" s="148"/>
      <c r="U14" s="148"/>
      <c r="V14" s="138" t="s">
        <v>73</v>
      </c>
      <c r="W14" s="103"/>
    </row>
    <row r="15" spans="1:23" ht="12.75">
      <c r="A15" s="152"/>
      <c r="B15" s="148"/>
      <c r="C15" s="148"/>
      <c r="D15" s="148"/>
      <c r="E15" s="148"/>
      <c r="F15" s="148"/>
      <c r="G15" s="148"/>
      <c r="H15" s="148"/>
      <c r="I15" s="148"/>
      <c r="J15" s="156"/>
      <c r="K15" s="117"/>
      <c r="L15" s="84"/>
      <c r="M15" s="152"/>
      <c r="N15" s="148"/>
      <c r="O15" s="148"/>
      <c r="P15" s="148"/>
      <c r="Q15" s="148"/>
      <c r="R15" s="113"/>
      <c r="S15" s="155"/>
      <c r="T15" s="148"/>
      <c r="U15" s="157"/>
      <c r="V15" s="156"/>
      <c r="W15" s="103"/>
    </row>
    <row r="16" spans="1:23" ht="12.75">
      <c r="A16" s="152"/>
      <c r="B16" s="148"/>
      <c r="C16" s="148"/>
      <c r="D16" s="148"/>
      <c r="E16" s="148"/>
      <c r="F16" s="153" t="s">
        <v>79</v>
      </c>
      <c r="G16" s="12" t="s">
        <v>80</v>
      </c>
      <c r="H16" s="148"/>
      <c r="I16" s="148"/>
      <c r="J16" s="156"/>
      <c r="K16" s="117"/>
      <c r="L16" s="84"/>
      <c r="M16" s="158">
        <v>2.5</v>
      </c>
      <c r="N16" s="12" t="s">
        <v>81</v>
      </c>
      <c r="O16" s="159">
        <v>1000000</v>
      </c>
      <c r="P16" s="12" t="s">
        <v>63</v>
      </c>
      <c r="Q16" s="153" t="s">
        <v>82</v>
      </c>
      <c r="R16" s="154" t="s">
        <v>83</v>
      </c>
      <c r="S16" s="155"/>
      <c r="T16" s="160">
        <f>(M16/O16)</f>
        <v>2.5E-06</v>
      </c>
      <c r="U16" s="161">
        <f>I18</f>
        <v>51272.4</v>
      </c>
      <c r="V16" s="162">
        <f aca="true" t="shared" si="0" ref="V16:V22">(+U16*T16)</f>
        <v>0.1282</v>
      </c>
      <c r="W16" s="163">
        <f>V16*C10/V59</f>
        <v>0.0517</v>
      </c>
    </row>
    <row r="17" spans="1:23" ht="12.75">
      <c r="A17" s="152"/>
      <c r="B17" s="148"/>
      <c r="C17" s="148"/>
      <c r="D17" s="148"/>
      <c r="E17" s="148"/>
      <c r="F17" s="148"/>
      <c r="G17" s="148"/>
      <c r="H17" s="148"/>
      <c r="I17" s="148"/>
      <c r="J17" s="156"/>
      <c r="K17" s="117"/>
      <c r="L17" s="84"/>
      <c r="M17" s="164">
        <v>15</v>
      </c>
      <c r="N17" s="12" t="s">
        <v>51</v>
      </c>
      <c r="O17" s="159" t="s">
        <v>84</v>
      </c>
      <c r="P17" s="165" t="s">
        <v>84</v>
      </c>
      <c r="Q17" s="153" t="s">
        <v>85</v>
      </c>
      <c r="R17" s="154" t="s">
        <v>86</v>
      </c>
      <c r="S17" s="155"/>
      <c r="T17" s="160">
        <f>(+M17/100)</f>
        <v>0.15</v>
      </c>
      <c r="U17" s="166">
        <f>V16</f>
        <v>0.1282</v>
      </c>
      <c r="V17" s="162">
        <f t="shared" si="0"/>
        <v>0.0192</v>
      </c>
      <c r="W17" s="163">
        <f>V17*C10/V59</f>
        <v>0.0077</v>
      </c>
    </row>
    <row r="18" spans="1:26" ht="12.75">
      <c r="A18" s="167">
        <v>100</v>
      </c>
      <c r="B18" s="168" t="s">
        <v>51</v>
      </c>
      <c r="C18" s="255">
        <v>120</v>
      </c>
      <c r="D18" s="12" t="s">
        <v>87</v>
      </c>
      <c r="E18" s="170" t="s">
        <v>88</v>
      </c>
      <c r="F18" s="170" t="s">
        <v>89</v>
      </c>
      <c r="G18" s="170" t="s">
        <v>90</v>
      </c>
      <c r="H18" s="171">
        <f>(+A18/C18)/100</f>
        <v>0.0083333</v>
      </c>
      <c r="I18" s="169">
        <f>I20-(M18*U18)</f>
        <v>51272.4</v>
      </c>
      <c r="J18" s="172">
        <f>(H18*I18)</f>
        <v>427.27</v>
      </c>
      <c r="K18" s="173">
        <f>J18/V59</f>
        <v>0.0862</v>
      </c>
      <c r="L18" s="84"/>
      <c r="M18" s="174">
        <v>6</v>
      </c>
      <c r="N18" s="12" t="s">
        <v>91</v>
      </c>
      <c r="O18" s="175">
        <v>100000</v>
      </c>
      <c r="P18" s="12" t="s">
        <v>63</v>
      </c>
      <c r="Q18" s="153" t="s">
        <v>92</v>
      </c>
      <c r="R18" s="116" t="s">
        <v>93</v>
      </c>
      <c r="S18" s="112"/>
      <c r="T18" s="160">
        <f>(+M18/O18)</f>
        <v>6E-05</v>
      </c>
      <c r="U18" s="255">
        <v>1454.6</v>
      </c>
      <c r="V18" s="162">
        <f t="shared" si="0"/>
        <v>0.0873</v>
      </c>
      <c r="W18" s="163">
        <f>V18*C10/V59</f>
        <v>0.0352</v>
      </c>
      <c r="Z18" s="1">
        <f>180.55*25</f>
        <v>4513.75</v>
      </c>
    </row>
    <row r="19" spans="1:26" ht="12.75">
      <c r="A19" s="176">
        <f>A18</f>
        <v>100</v>
      </c>
      <c r="B19" s="12" t="s">
        <v>51</v>
      </c>
      <c r="C19" s="161">
        <f>C18</f>
        <v>120</v>
      </c>
      <c r="D19" s="12" t="s">
        <v>87</v>
      </c>
      <c r="E19" s="153" t="s">
        <v>88</v>
      </c>
      <c r="F19" s="153" t="s">
        <v>94</v>
      </c>
      <c r="G19" s="153" t="s">
        <v>95</v>
      </c>
      <c r="H19" s="160">
        <f>(+A19/C19)/100</f>
        <v>0.0083333</v>
      </c>
      <c r="I19" s="161">
        <f>I18*I8</f>
        <v>0</v>
      </c>
      <c r="J19" s="172">
        <f>(H19*I19)</f>
        <v>0</v>
      </c>
      <c r="K19" s="173" t="s">
        <v>96</v>
      </c>
      <c r="L19" s="84"/>
      <c r="M19" s="174">
        <v>1</v>
      </c>
      <c r="N19" s="12" t="s">
        <v>97</v>
      </c>
      <c r="O19" s="237">
        <v>3.5</v>
      </c>
      <c r="P19" s="12" t="s">
        <v>63</v>
      </c>
      <c r="Q19" s="153" t="s">
        <v>98</v>
      </c>
      <c r="R19" s="116" t="s">
        <v>99</v>
      </c>
      <c r="S19" s="112"/>
      <c r="T19" s="160">
        <f>(+M19/O19)</f>
        <v>0.2857143</v>
      </c>
      <c r="U19" s="255">
        <v>2.95</v>
      </c>
      <c r="V19" s="162">
        <f t="shared" si="0"/>
        <v>0.8429</v>
      </c>
      <c r="W19" s="163">
        <f>V19*C10/V59</f>
        <v>0.3402</v>
      </c>
      <c r="Z19" s="1">
        <f>1120.82</f>
        <v>1120.82</v>
      </c>
    </row>
    <row r="20" spans="1:26" ht="12.75">
      <c r="A20" s="766">
        <v>18</v>
      </c>
      <c r="B20" s="168" t="s">
        <v>51</v>
      </c>
      <c r="C20" s="169">
        <v>12</v>
      </c>
      <c r="D20" s="12" t="s">
        <v>87</v>
      </c>
      <c r="E20" s="170" t="s">
        <v>88</v>
      </c>
      <c r="F20" s="170" t="s">
        <v>100</v>
      </c>
      <c r="G20" s="170" t="s">
        <v>101</v>
      </c>
      <c r="H20" s="171">
        <f>(+A20/C20)/100</f>
        <v>0.015</v>
      </c>
      <c r="I20" s="255">
        <v>60000</v>
      </c>
      <c r="J20" s="172">
        <f>(H20*I20)</f>
        <v>900</v>
      </c>
      <c r="K20" s="173">
        <f>J20/V59</f>
        <v>0.1816</v>
      </c>
      <c r="L20" s="84"/>
      <c r="M20" s="174">
        <v>10.27</v>
      </c>
      <c r="N20" s="12" t="s">
        <v>97</v>
      </c>
      <c r="O20" s="159">
        <v>7500</v>
      </c>
      <c r="P20" s="12" t="s">
        <v>63</v>
      </c>
      <c r="Q20" s="153" t="s">
        <v>102</v>
      </c>
      <c r="R20" s="154" t="s">
        <v>103</v>
      </c>
      <c r="S20" s="155"/>
      <c r="T20" s="160">
        <f>(+M20/O20)</f>
        <v>0.0013693</v>
      </c>
      <c r="U20" s="255">
        <v>19</v>
      </c>
      <c r="V20" s="162">
        <f t="shared" si="0"/>
        <v>0.026</v>
      </c>
      <c r="W20" s="163">
        <f>V20*C10/V59</f>
        <v>0.0105</v>
      </c>
      <c r="Z20" s="1">
        <f>SUM(Z18:Z19)</f>
        <v>5634.57</v>
      </c>
    </row>
    <row r="21" spans="1:23" ht="12.75">
      <c r="A21" s="176">
        <f>A20</f>
        <v>18</v>
      </c>
      <c r="B21" s="12" t="s">
        <v>51</v>
      </c>
      <c r="C21" s="161">
        <f>C20</f>
        <v>12</v>
      </c>
      <c r="D21" s="12" t="s">
        <v>87</v>
      </c>
      <c r="E21" s="153" t="s">
        <v>88</v>
      </c>
      <c r="F21" s="153" t="s">
        <v>104</v>
      </c>
      <c r="G21" s="153" t="s">
        <v>105</v>
      </c>
      <c r="H21" s="160">
        <f>(+A21/C21)/100</f>
        <v>0.015</v>
      </c>
      <c r="I21" s="161">
        <f>I20*I8</f>
        <v>0</v>
      </c>
      <c r="J21" s="172">
        <f>(H21*I21)</f>
        <v>0</v>
      </c>
      <c r="K21" s="173" t="s">
        <v>96</v>
      </c>
      <c r="L21" s="84"/>
      <c r="M21" s="174">
        <v>9.5</v>
      </c>
      <c r="N21" s="12" t="s">
        <v>97</v>
      </c>
      <c r="O21" s="159">
        <v>30000</v>
      </c>
      <c r="P21" s="12" t="s">
        <v>63</v>
      </c>
      <c r="Q21" s="153" t="s">
        <v>106</v>
      </c>
      <c r="R21" s="154" t="s">
        <v>107</v>
      </c>
      <c r="S21" s="155"/>
      <c r="T21" s="160">
        <f>(+M21/O21)</f>
        <v>0.0003167</v>
      </c>
      <c r="U21" s="255">
        <v>22</v>
      </c>
      <c r="V21" s="162">
        <f t="shared" si="0"/>
        <v>0.007</v>
      </c>
      <c r="W21" s="163">
        <f>V21*C10/V59</f>
        <v>0.0028</v>
      </c>
    </row>
    <row r="22" spans="1:26" ht="12.75">
      <c r="A22" s="176">
        <v>1</v>
      </c>
      <c r="B22" s="12" t="s">
        <v>108</v>
      </c>
      <c r="C22" s="161">
        <v>12</v>
      </c>
      <c r="D22" s="12" t="s">
        <v>87</v>
      </c>
      <c r="E22" s="153" t="s">
        <v>88</v>
      </c>
      <c r="F22" s="153" t="s">
        <v>109</v>
      </c>
      <c r="G22" s="153" t="s">
        <v>110</v>
      </c>
      <c r="H22" s="160">
        <f>A22/C22</f>
        <v>0.0833333</v>
      </c>
      <c r="I22" s="169">
        <v>450</v>
      </c>
      <c r="J22" s="177">
        <f>(I22*H22)</f>
        <v>37.5</v>
      </c>
      <c r="K22" s="173">
        <f>J22/V59</f>
        <v>0.0076</v>
      </c>
      <c r="L22" s="84"/>
      <c r="M22" s="174">
        <v>1</v>
      </c>
      <c r="N22" s="12" t="s">
        <v>91</v>
      </c>
      <c r="O22" s="159">
        <v>4000</v>
      </c>
      <c r="P22" s="12" t="s">
        <v>63</v>
      </c>
      <c r="Q22" s="153" t="s">
        <v>111</v>
      </c>
      <c r="R22" s="154" t="s">
        <v>112</v>
      </c>
      <c r="S22" s="155"/>
      <c r="T22" s="160">
        <f>(+M22/O22)</f>
        <v>0.00025</v>
      </c>
      <c r="U22" s="255">
        <v>100</v>
      </c>
      <c r="V22" s="162">
        <f t="shared" si="0"/>
        <v>0.025</v>
      </c>
      <c r="W22" s="163">
        <f>V22*C10/V59</f>
        <v>0.0101</v>
      </c>
      <c r="Z22" s="178">
        <f>Z20/25</f>
        <v>225.38</v>
      </c>
    </row>
    <row r="23" spans="1:23" ht="12.75">
      <c r="A23" s="176">
        <v>1</v>
      </c>
      <c r="B23" s="12" t="s">
        <v>108</v>
      </c>
      <c r="C23" s="161">
        <v>12</v>
      </c>
      <c r="D23" s="12" t="s">
        <v>87</v>
      </c>
      <c r="E23" s="153" t="s">
        <v>88</v>
      </c>
      <c r="F23" s="153" t="s">
        <v>113</v>
      </c>
      <c r="G23" s="153" t="s">
        <v>114</v>
      </c>
      <c r="H23" s="160">
        <f>A23/C23</f>
        <v>0.0833333</v>
      </c>
      <c r="I23" s="169">
        <v>1200</v>
      </c>
      <c r="J23" s="177">
        <f>(I23*H23)</f>
        <v>100</v>
      </c>
      <c r="K23" s="173">
        <f>J23/V59</f>
        <v>0.0202</v>
      </c>
      <c r="L23" s="84"/>
      <c r="M23" s="174"/>
      <c r="N23" s="148"/>
      <c r="O23" s="159"/>
      <c r="P23" s="148"/>
      <c r="Q23" s="148"/>
      <c r="R23" s="113"/>
      <c r="S23" s="155"/>
      <c r="T23" s="179"/>
      <c r="U23" s="161"/>
      <c r="V23" s="162"/>
      <c r="W23" s="146"/>
    </row>
    <row r="24" spans="1:23" ht="12.75">
      <c r="A24" s="176">
        <v>3</v>
      </c>
      <c r="B24" s="12" t="s">
        <v>115</v>
      </c>
      <c r="C24" s="161">
        <v>12</v>
      </c>
      <c r="D24" s="12" t="s">
        <v>87</v>
      </c>
      <c r="E24" s="153" t="s">
        <v>88</v>
      </c>
      <c r="F24" s="153" t="s">
        <v>116</v>
      </c>
      <c r="G24" s="153" t="s">
        <v>492</v>
      </c>
      <c r="H24" s="160">
        <f>1/12</f>
        <v>0.0833333</v>
      </c>
      <c r="I24" s="161">
        <f>(+I20*A24)/100</f>
        <v>1800</v>
      </c>
      <c r="J24" s="177">
        <f>(I24*H24)</f>
        <v>150</v>
      </c>
      <c r="K24" s="173">
        <f>J24/V59</f>
        <v>0.0303</v>
      </c>
      <c r="L24" s="84"/>
      <c r="M24" s="180"/>
      <c r="N24" s="148"/>
      <c r="O24" s="179"/>
      <c r="P24" s="148"/>
      <c r="Q24" s="153" t="s">
        <v>118</v>
      </c>
      <c r="R24" s="181" t="s">
        <v>119</v>
      </c>
      <c r="S24" s="182"/>
      <c r="T24" s="106"/>
      <c r="U24" s="134"/>
      <c r="V24" s="183">
        <f>SUM(V16:V22)</f>
        <v>1.1356</v>
      </c>
      <c r="W24" s="184">
        <f>V24*C10/V59</f>
        <v>0.4583</v>
      </c>
    </row>
    <row r="25" spans="1:23" ht="12.75">
      <c r="A25" s="185"/>
      <c r="B25" s="148"/>
      <c r="C25" s="161"/>
      <c r="D25" s="148"/>
      <c r="E25" s="148"/>
      <c r="F25" s="148"/>
      <c r="G25" s="148"/>
      <c r="H25" s="186"/>
      <c r="I25" s="179"/>
      <c r="J25" s="187"/>
      <c r="K25" s="117"/>
      <c r="L25" s="84"/>
      <c r="M25" s="188"/>
      <c r="N25" s="106"/>
      <c r="O25" s="106"/>
      <c r="P25" s="106"/>
      <c r="Q25" s="182"/>
      <c r="R25" s="182"/>
      <c r="S25" s="182"/>
      <c r="T25" s="106"/>
      <c r="U25" s="189"/>
      <c r="V25" s="190"/>
      <c r="W25" s="191"/>
    </row>
    <row r="26" spans="1:23" ht="12.75">
      <c r="A26" s="185"/>
      <c r="B26" s="148"/>
      <c r="C26" s="161"/>
      <c r="D26" s="148"/>
      <c r="E26" s="148"/>
      <c r="F26" s="153" t="s">
        <v>120</v>
      </c>
      <c r="G26" s="153" t="s">
        <v>121</v>
      </c>
      <c r="H26" s="186"/>
      <c r="I26" s="179"/>
      <c r="J26" s="177">
        <f>SUM(J18:J24)</f>
        <v>1614.77</v>
      </c>
      <c r="K26" s="192"/>
      <c r="L26" s="84"/>
      <c r="M26" s="193"/>
      <c r="N26" s="194"/>
      <c r="O26" s="194"/>
      <c r="P26" s="194"/>
      <c r="Q26" s="194"/>
      <c r="R26" s="194"/>
      <c r="S26" s="194"/>
      <c r="T26" s="194"/>
      <c r="U26" s="194"/>
      <c r="V26" s="32"/>
      <c r="W26" s="191"/>
    </row>
    <row r="27" spans="1:23" ht="12.75">
      <c r="A27" s="176">
        <v>100</v>
      </c>
      <c r="B27" s="12" t="s">
        <v>51</v>
      </c>
      <c r="C27" s="161">
        <v>1</v>
      </c>
      <c r="D27" s="12" t="s">
        <v>87</v>
      </c>
      <c r="E27" s="153" t="s">
        <v>88</v>
      </c>
      <c r="F27" s="148"/>
      <c r="G27" s="12" t="s">
        <v>122</v>
      </c>
      <c r="H27" s="195">
        <f>(+A27/C27)/100</f>
        <v>1</v>
      </c>
      <c r="I27" s="161"/>
      <c r="J27" s="177">
        <f>J26*H27</f>
        <v>1614.77</v>
      </c>
      <c r="K27" s="196">
        <f>J27/V59</f>
        <v>0.3258</v>
      </c>
      <c r="L27" s="84"/>
      <c r="M27" s="197"/>
      <c r="N27" s="113"/>
      <c r="O27" s="113"/>
      <c r="P27" s="113"/>
      <c r="Q27" s="113"/>
      <c r="R27" s="113"/>
      <c r="S27" s="113"/>
      <c r="T27" s="113"/>
      <c r="U27" s="127"/>
      <c r="V27" s="198"/>
      <c r="W27" s="191"/>
    </row>
    <row r="28" spans="1:23" ht="12.75">
      <c r="A28" s="185"/>
      <c r="B28" s="148"/>
      <c r="C28" s="161"/>
      <c r="D28" s="148"/>
      <c r="E28" s="148"/>
      <c r="F28" s="148"/>
      <c r="G28" s="148"/>
      <c r="H28" s="195"/>
      <c r="I28" s="161"/>
      <c r="J28" s="177"/>
      <c r="K28" s="192"/>
      <c r="L28" s="84"/>
      <c r="M28" s="197"/>
      <c r="N28" s="113"/>
      <c r="O28" s="113"/>
      <c r="P28" s="113"/>
      <c r="Q28" s="113"/>
      <c r="R28" s="113"/>
      <c r="S28" s="113"/>
      <c r="T28" s="113"/>
      <c r="U28" s="127"/>
      <c r="V28" s="198"/>
      <c r="W28" s="191"/>
    </row>
    <row r="29" spans="1:23" ht="12.75">
      <c r="A29" s="185"/>
      <c r="B29" s="148"/>
      <c r="C29" s="161"/>
      <c r="D29" s="148"/>
      <c r="E29" s="169"/>
      <c r="F29" s="170"/>
      <c r="G29" s="170"/>
      <c r="H29" s="199"/>
      <c r="I29" s="200"/>
      <c r="J29" s="172"/>
      <c r="K29" s="173"/>
      <c r="L29" s="84"/>
      <c r="M29" s="197"/>
      <c r="N29" s="113"/>
      <c r="O29" s="113"/>
      <c r="P29" s="113"/>
      <c r="Q29" s="113"/>
      <c r="R29" s="113"/>
      <c r="S29" s="113"/>
      <c r="T29" s="113"/>
      <c r="U29" s="127"/>
      <c r="V29" s="198"/>
      <c r="W29" s="191"/>
    </row>
    <row r="30" spans="1:23" ht="12.75">
      <c r="A30" s="167">
        <v>2</v>
      </c>
      <c r="B30" s="168" t="s">
        <v>123</v>
      </c>
      <c r="C30" s="175">
        <f>C10</f>
        <v>2000</v>
      </c>
      <c r="D30" s="168" t="s">
        <v>124</v>
      </c>
      <c r="E30" s="201">
        <f>(+C30*H30)</f>
        <v>40</v>
      </c>
      <c r="F30" s="170" t="s">
        <v>125</v>
      </c>
      <c r="G30" s="202" t="s">
        <v>126</v>
      </c>
      <c r="H30" s="199">
        <f>(+A30/100)</f>
        <v>0.02</v>
      </c>
      <c r="I30" s="203">
        <f>V24</f>
        <v>1.1356</v>
      </c>
      <c r="J30" s="172">
        <f>E30*I30</f>
        <v>45.42</v>
      </c>
      <c r="K30" s="173">
        <f>J30/V$59</f>
        <v>0.0092</v>
      </c>
      <c r="L30" s="84"/>
      <c r="M30" s="197"/>
      <c r="N30" s="113"/>
      <c r="O30" s="113"/>
      <c r="P30" s="113"/>
      <c r="Q30" s="113"/>
      <c r="R30" s="113"/>
      <c r="S30" s="113"/>
      <c r="T30" s="113"/>
      <c r="U30" s="127"/>
      <c r="V30" s="198"/>
      <c r="W30" s="191"/>
    </row>
    <row r="31" spans="1:23" ht="12.75">
      <c r="A31" s="176"/>
      <c r="B31" s="12"/>
      <c r="C31" s="161"/>
      <c r="D31" s="12"/>
      <c r="E31" s="159"/>
      <c r="F31" s="153"/>
      <c r="G31" s="153"/>
      <c r="H31" s="195"/>
      <c r="I31" s="169"/>
      <c r="J31" s="177"/>
      <c r="K31" s="173"/>
      <c r="L31" s="84"/>
      <c r="M31" s="204"/>
      <c r="N31" s="205"/>
      <c r="O31" s="205"/>
      <c r="P31" s="205"/>
      <c r="Q31" s="205"/>
      <c r="R31" s="205"/>
      <c r="S31" s="205"/>
      <c r="T31" s="205"/>
      <c r="U31" s="205"/>
      <c r="V31" s="206"/>
      <c r="W31" s="191"/>
    </row>
    <row r="32" spans="1:23" ht="12.75">
      <c r="A32" s="176"/>
      <c r="B32" s="12"/>
      <c r="C32" s="161"/>
      <c r="D32" s="12"/>
      <c r="E32" s="159"/>
      <c r="F32" s="153"/>
      <c r="G32" s="153"/>
      <c r="H32" s="195"/>
      <c r="I32" s="169"/>
      <c r="J32" s="177"/>
      <c r="K32" s="173"/>
      <c r="L32" s="84"/>
      <c r="M32" s="207"/>
      <c r="N32" s="95"/>
      <c r="O32" s="95"/>
      <c r="P32" s="95"/>
      <c r="Q32" s="96"/>
      <c r="R32" s="95"/>
      <c r="S32" s="95"/>
      <c r="T32" s="95"/>
      <c r="U32" s="208"/>
      <c r="V32" s="95"/>
      <c r="W32" s="93"/>
    </row>
    <row r="33" spans="1:23" ht="20.25">
      <c r="A33" s="176"/>
      <c r="B33" s="12"/>
      <c r="C33" s="161"/>
      <c r="D33" s="12"/>
      <c r="E33" s="159"/>
      <c r="F33" s="153"/>
      <c r="G33" s="153"/>
      <c r="H33" s="195"/>
      <c r="I33" s="169"/>
      <c r="J33" s="177"/>
      <c r="K33" s="173"/>
      <c r="L33" s="84"/>
      <c r="M33" s="94" t="s">
        <v>127</v>
      </c>
      <c r="N33" s="95"/>
      <c r="O33" s="95"/>
      <c r="P33" s="95"/>
      <c r="Q33" s="95"/>
      <c r="R33" s="95"/>
      <c r="S33" s="95"/>
      <c r="T33" s="95"/>
      <c r="U33" s="95"/>
      <c r="V33" s="208"/>
      <c r="W33" s="93"/>
    </row>
    <row r="34" spans="1:23" ht="12.75">
      <c r="A34" s="174"/>
      <c r="B34" s="148"/>
      <c r="C34" s="161"/>
      <c r="D34" s="148"/>
      <c r="E34" s="148"/>
      <c r="F34" s="170" t="s">
        <v>132</v>
      </c>
      <c r="G34" s="148" t="s">
        <v>445</v>
      </c>
      <c r="H34" s="186"/>
      <c r="I34" s="157"/>
      <c r="J34" s="177">
        <f>SUM(J27:J30)</f>
        <v>1660.19</v>
      </c>
      <c r="K34" s="173"/>
      <c r="L34" s="84"/>
      <c r="M34" s="209"/>
      <c r="N34" s="210"/>
      <c r="O34" s="210"/>
      <c r="P34" s="210"/>
      <c r="Q34" s="210"/>
      <c r="R34" s="210"/>
      <c r="S34" s="210"/>
      <c r="T34" s="210"/>
      <c r="U34" s="210"/>
      <c r="V34" s="210"/>
      <c r="W34" s="93"/>
    </row>
    <row r="35" spans="1:23" ht="12.75">
      <c r="A35" s="174"/>
      <c r="B35" s="148"/>
      <c r="C35" s="161"/>
      <c r="D35" s="148"/>
      <c r="E35" s="424"/>
      <c r="F35" s="170"/>
      <c r="G35" s="170"/>
      <c r="H35" s="423"/>
      <c r="I35" s="428"/>
      <c r="J35" s="425"/>
      <c r="K35" s="173"/>
      <c r="L35" s="84"/>
      <c r="M35" s="188"/>
      <c r="N35" s="106"/>
      <c r="O35" s="133"/>
      <c r="P35" s="133"/>
      <c r="Q35" s="133"/>
      <c r="R35" s="136"/>
      <c r="S35" s="134"/>
      <c r="T35" s="133"/>
      <c r="U35" s="135" t="s">
        <v>64</v>
      </c>
      <c r="V35" s="211"/>
      <c r="W35" s="93"/>
    </row>
    <row r="36" spans="1:23" ht="12.75">
      <c r="A36" s="760">
        <v>2.5</v>
      </c>
      <c r="B36" s="168" t="s">
        <v>198</v>
      </c>
      <c r="C36" s="161"/>
      <c r="D36" s="12"/>
      <c r="E36" s="424"/>
      <c r="F36" s="170" t="s">
        <v>449</v>
      </c>
      <c r="G36" s="226" t="s">
        <v>448</v>
      </c>
      <c r="H36" s="186">
        <f>A36/100</f>
        <v>0.025</v>
      </c>
      <c r="I36" s="246">
        <f>J34</f>
        <v>1660.19</v>
      </c>
      <c r="J36" s="172">
        <f>H36*I36</f>
        <v>41.5</v>
      </c>
      <c r="K36" s="173">
        <f>J36/V$59</f>
        <v>0.0084</v>
      </c>
      <c r="L36" s="84"/>
      <c r="M36" s="197"/>
      <c r="N36" s="113"/>
      <c r="O36" s="12" t="s">
        <v>75</v>
      </c>
      <c r="P36" s="12" t="s">
        <v>67</v>
      </c>
      <c r="Q36" s="12" t="s">
        <v>69</v>
      </c>
      <c r="R36" s="815" t="s">
        <v>128</v>
      </c>
      <c r="S36" s="816"/>
      <c r="T36" s="12" t="s">
        <v>71</v>
      </c>
      <c r="U36" s="12" t="s">
        <v>72</v>
      </c>
      <c r="V36" s="177" t="s">
        <v>129</v>
      </c>
      <c r="W36" s="215"/>
    </row>
    <row r="37" spans="1:23" ht="12.75">
      <c r="A37" s="167"/>
      <c r="B37" s="168"/>
      <c r="C37" s="175"/>
      <c r="D37" s="168"/>
      <c r="E37" s="216"/>
      <c r="F37" s="170"/>
      <c r="G37" s="202"/>
      <c r="H37" s="199"/>
      <c r="I37" s="203"/>
      <c r="J37" s="172"/>
      <c r="K37" s="173"/>
      <c r="L37" s="84"/>
      <c r="M37" s="209"/>
      <c r="N37" s="210"/>
      <c r="O37" s="150"/>
      <c r="P37" s="150"/>
      <c r="Q37" s="150"/>
      <c r="R37" s="151"/>
      <c r="S37" s="217"/>
      <c r="T37" s="150"/>
      <c r="U37" s="144" t="s">
        <v>74</v>
      </c>
      <c r="V37" s="151"/>
      <c r="W37" s="103"/>
    </row>
    <row r="38" spans="1:23" ht="12.75">
      <c r="A38" s="152"/>
      <c r="B38" s="148"/>
      <c r="C38" s="179"/>
      <c r="D38" s="148"/>
      <c r="E38" s="148"/>
      <c r="F38" s="148"/>
      <c r="G38" s="148"/>
      <c r="H38" s="148"/>
      <c r="I38" s="179"/>
      <c r="J38" s="187"/>
      <c r="K38" s="173"/>
      <c r="L38" s="84"/>
      <c r="M38" s="197"/>
      <c r="N38" s="113"/>
      <c r="O38" s="148"/>
      <c r="P38" s="133"/>
      <c r="Q38" s="154" t="s">
        <v>130</v>
      </c>
      <c r="R38" s="218" t="s">
        <v>131</v>
      </c>
      <c r="S38" s="219"/>
      <c r="T38" s="220"/>
      <c r="U38" s="221"/>
      <c r="V38" s="39" t="s">
        <v>73</v>
      </c>
      <c r="W38" s="222"/>
    </row>
    <row r="39" spans="1:23" ht="12.75">
      <c r="A39" s="141"/>
      <c r="B39" s="142"/>
      <c r="C39" s="144"/>
      <c r="D39" s="142"/>
      <c r="E39" s="142"/>
      <c r="F39" s="223" t="s">
        <v>203</v>
      </c>
      <c r="G39" s="218" t="s">
        <v>450</v>
      </c>
      <c r="H39" s="224"/>
      <c r="I39" s="224"/>
      <c r="J39" s="225">
        <f>SUM(J34:J36)</f>
        <v>1701.69</v>
      </c>
      <c r="K39" s="196">
        <f>J39/V59</f>
        <v>0.3434</v>
      </c>
      <c r="L39" s="84"/>
      <c r="M39" s="197"/>
      <c r="N39" s="113"/>
      <c r="O39" s="148"/>
      <c r="P39" s="148"/>
      <c r="Q39" s="154" t="s">
        <v>133</v>
      </c>
      <c r="R39" s="226" t="s">
        <v>134</v>
      </c>
      <c r="S39" s="227"/>
      <c r="T39" s="179"/>
      <c r="U39" s="166">
        <f>V24</f>
        <v>1.1356</v>
      </c>
      <c r="V39" s="162">
        <f>$V$24</f>
        <v>1.1356</v>
      </c>
      <c r="W39" s="103"/>
    </row>
    <row r="40" spans="1:23" ht="12.75">
      <c r="A40" s="197"/>
      <c r="B40" s="113"/>
      <c r="C40" s="113"/>
      <c r="D40" s="113"/>
      <c r="E40" s="113"/>
      <c r="F40" s="154"/>
      <c r="G40" s="154"/>
      <c r="H40" s="154"/>
      <c r="I40" s="154"/>
      <c r="J40" s="127"/>
      <c r="K40" s="228"/>
      <c r="L40" s="84"/>
      <c r="M40" s="197"/>
      <c r="N40" s="113"/>
      <c r="O40" s="161"/>
      <c r="P40" s="12"/>
      <c r="Q40" s="154"/>
      <c r="R40" s="226"/>
      <c r="S40" s="227"/>
      <c r="T40" s="160"/>
      <c r="U40" s="179"/>
      <c r="V40" s="162"/>
      <c r="W40" s="163"/>
    </row>
    <row r="41" spans="1:23" ht="20.25">
      <c r="A41" s="229" t="s">
        <v>136</v>
      </c>
      <c r="B41" s="230"/>
      <c r="C41" s="230"/>
      <c r="D41" s="230"/>
      <c r="E41" s="230"/>
      <c r="F41" s="230"/>
      <c r="G41" s="230"/>
      <c r="H41" s="230"/>
      <c r="I41" s="230"/>
      <c r="J41" s="230"/>
      <c r="K41" s="192"/>
      <c r="L41" s="84"/>
      <c r="M41" s="197"/>
      <c r="N41" s="113"/>
      <c r="O41" s="161">
        <f>C48</f>
        <v>5.5</v>
      </c>
      <c r="P41" s="12" t="s">
        <v>51</v>
      </c>
      <c r="Q41" s="154" t="s">
        <v>135</v>
      </c>
      <c r="R41" s="226" t="s">
        <v>138</v>
      </c>
      <c r="S41" s="227"/>
      <c r="T41" s="160">
        <f>(+O41/100)</f>
        <v>0.055</v>
      </c>
      <c r="U41" s="179"/>
      <c r="V41" s="162">
        <f>(+V39*T41)</f>
        <v>0.0625</v>
      </c>
      <c r="W41" s="163">
        <f>V41*C10/V59</f>
        <v>0.0252</v>
      </c>
    </row>
    <row r="42" spans="1:23" ht="20.25">
      <c r="A42" s="197"/>
      <c r="B42" s="113"/>
      <c r="C42" s="113"/>
      <c r="D42" s="113"/>
      <c r="E42" s="113"/>
      <c r="F42" s="113"/>
      <c r="G42" s="155"/>
      <c r="H42" s="113"/>
      <c r="I42" s="113"/>
      <c r="J42" s="113"/>
      <c r="K42" s="97"/>
      <c r="L42" s="84"/>
      <c r="M42" s="197"/>
      <c r="N42" s="113"/>
      <c r="O42" s="161" t="s">
        <v>139</v>
      </c>
      <c r="P42" s="148"/>
      <c r="Q42" s="154" t="s">
        <v>137</v>
      </c>
      <c r="R42" s="226" t="s">
        <v>418</v>
      </c>
      <c r="S42" s="227"/>
      <c r="T42" s="179"/>
      <c r="U42" s="179"/>
      <c r="V42" s="162">
        <f>SUM(V39:V41)</f>
        <v>1.1981</v>
      </c>
      <c r="W42" s="163"/>
    </row>
    <row r="43" spans="1:23" ht="12.75">
      <c r="A43" s="188"/>
      <c r="B43" s="134"/>
      <c r="C43" s="133"/>
      <c r="D43" s="133"/>
      <c r="E43" s="133"/>
      <c r="F43" s="231"/>
      <c r="G43" s="182"/>
      <c r="H43" s="15"/>
      <c r="I43" s="135" t="s">
        <v>64</v>
      </c>
      <c r="J43" s="136"/>
      <c r="K43" s="117"/>
      <c r="L43" s="84"/>
      <c r="M43" s="197"/>
      <c r="N43" s="113"/>
      <c r="O43" s="161">
        <f>C51</f>
        <v>0</v>
      </c>
      <c r="P43" s="12" t="s">
        <v>51</v>
      </c>
      <c r="Q43" s="154" t="s">
        <v>140</v>
      </c>
      <c r="R43" s="226" t="s">
        <v>142</v>
      </c>
      <c r="S43" s="227"/>
      <c r="T43" s="160">
        <f>(+O43/100)</f>
        <v>0</v>
      </c>
      <c r="U43" s="232">
        <f>V42</f>
        <v>1.1981</v>
      </c>
      <c r="V43" s="162">
        <f>(+V42*T43)</f>
        <v>0</v>
      </c>
      <c r="W43" s="163">
        <f>V43*C10/V59</f>
        <v>0</v>
      </c>
    </row>
    <row r="44" spans="1:23" ht="12.75">
      <c r="A44" s="197"/>
      <c r="B44" s="233"/>
      <c r="C44" s="12" t="s">
        <v>75</v>
      </c>
      <c r="D44" s="12" t="s">
        <v>67</v>
      </c>
      <c r="E44" s="12" t="s">
        <v>69</v>
      </c>
      <c r="F44" s="815" t="s">
        <v>70</v>
      </c>
      <c r="G44" s="816"/>
      <c r="H44" s="12" t="s">
        <v>71</v>
      </c>
      <c r="I44" s="12" t="s">
        <v>72</v>
      </c>
      <c r="J44" s="138" t="s">
        <v>73</v>
      </c>
      <c r="K44" s="117"/>
      <c r="L44" s="84"/>
      <c r="M44" s="197"/>
      <c r="N44" s="113"/>
      <c r="O44" s="161" t="s">
        <v>139</v>
      </c>
      <c r="P44" s="148"/>
      <c r="Q44" s="154" t="s">
        <v>141</v>
      </c>
      <c r="R44" s="226" t="s">
        <v>419</v>
      </c>
      <c r="S44" s="227"/>
      <c r="T44" s="179"/>
      <c r="U44" s="179"/>
      <c r="V44" s="162">
        <f>SUM(V42:V43)</f>
        <v>1.1981</v>
      </c>
      <c r="W44" s="163"/>
    </row>
    <row r="45" spans="1:23" ht="12.75">
      <c r="A45" s="197"/>
      <c r="B45" s="233"/>
      <c r="C45" s="142"/>
      <c r="D45" s="142"/>
      <c r="E45" s="142"/>
      <c r="F45" s="145"/>
      <c r="G45" s="126"/>
      <c r="H45" s="150"/>
      <c r="I45" s="144" t="s">
        <v>74</v>
      </c>
      <c r="J45" s="145"/>
      <c r="K45" s="234"/>
      <c r="L45" s="84"/>
      <c r="M45" s="197"/>
      <c r="N45" s="113"/>
      <c r="O45" s="161">
        <f>C54</f>
        <v>9</v>
      </c>
      <c r="P45" s="12" t="s">
        <v>51</v>
      </c>
      <c r="Q45" s="154" t="s">
        <v>143</v>
      </c>
      <c r="R45" s="226" t="s">
        <v>145</v>
      </c>
      <c r="S45" s="227"/>
      <c r="T45" s="160">
        <f>(+O45/100)</f>
        <v>0.09</v>
      </c>
      <c r="U45" s="232">
        <f>V44</f>
        <v>1.1981</v>
      </c>
      <c r="V45" s="162">
        <f>(+V44*T45)</f>
        <v>0.1078</v>
      </c>
      <c r="W45" s="163">
        <f>V45*C10/V59</f>
        <v>0.0435</v>
      </c>
    </row>
    <row r="46" spans="1:23" ht="12.75">
      <c r="A46" s="197"/>
      <c r="B46" s="233"/>
      <c r="C46" s="148"/>
      <c r="D46" s="148"/>
      <c r="E46" s="153" t="s">
        <v>146</v>
      </c>
      <c r="F46" s="181" t="s">
        <v>176</v>
      </c>
      <c r="G46" s="106"/>
      <c r="H46" s="235"/>
      <c r="I46" s="161">
        <f>J39</f>
        <v>1701.69</v>
      </c>
      <c r="J46" s="236">
        <f>J39</f>
        <v>1701.69</v>
      </c>
      <c r="K46" s="117"/>
      <c r="L46" s="84"/>
      <c r="M46" s="197"/>
      <c r="N46" s="113"/>
      <c r="O46" s="161" t="s">
        <v>139</v>
      </c>
      <c r="P46" s="148"/>
      <c r="Q46" s="154" t="s">
        <v>144</v>
      </c>
      <c r="R46" s="226" t="s">
        <v>420</v>
      </c>
      <c r="S46" s="227"/>
      <c r="T46" s="179"/>
      <c r="U46" s="179"/>
      <c r="V46" s="162">
        <f>SUM(V44:V45)</f>
        <v>1.3059</v>
      </c>
      <c r="W46" s="163"/>
    </row>
    <row r="47" spans="1:23" ht="12.75">
      <c r="A47" s="197"/>
      <c r="B47" s="233"/>
      <c r="C47" s="706"/>
      <c r="D47" s="12"/>
      <c r="E47" s="153"/>
      <c r="F47" s="226"/>
      <c r="G47" s="227"/>
      <c r="H47" s="160"/>
      <c r="I47" s="179"/>
      <c r="J47" s="177"/>
      <c r="K47" s="173"/>
      <c r="L47" s="84"/>
      <c r="M47" s="197"/>
      <c r="N47" s="113"/>
      <c r="O47" s="161">
        <f>C57</f>
        <v>7.81</v>
      </c>
      <c r="P47" s="12" t="s">
        <v>51</v>
      </c>
      <c r="Q47" s="154" t="s">
        <v>150</v>
      </c>
      <c r="R47" s="226" t="s">
        <v>151</v>
      </c>
      <c r="S47" s="227"/>
      <c r="T47" s="160">
        <f>(+O47/100)</f>
        <v>0.0781</v>
      </c>
      <c r="U47" s="179"/>
      <c r="V47" s="162">
        <f>(+V49*T47)</f>
        <v>0.1106</v>
      </c>
      <c r="W47" s="163">
        <f>V47*C10/V59</f>
        <v>0.0446</v>
      </c>
    </row>
    <row r="48" spans="1:23" ht="12.75">
      <c r="A48" s="197"/>
      <c r="B48" s="233"/>
      <c r="C48" s="237">
        <v>5.5</v>
      </c>
      <c r="D48" s="12" t="s">
        <v>51</v>
      </c>
      <c r="E48" s="153" t="s">
        <v>149</v>
      </c>
      <c r="F48" s="226" t="s">
        <v>138</v>
      </c>
      <c r="G48" s="227"/>
      <c r="H48" s="160">
        <f>(C48/100)</f>
        <v>0.055</v>
      </c>
      <c r="I48" s="179"/>
      <c r="J48" s="177">
        <f>(+J46*H48)</f>
        <v>93.59</v>
      </c>
      <c r="K48" s="173">
        <f>J48/V59</f>
        <v>0.0189</v>
      </c>
      <c r="L48" s="84"/>
      <c r="M48" s="197"/>
      <c r="N48" s="113"/>
      <c r="O48" s="161" t="s">
        <v>139</v>
      </c>
      <c r="P48" s="148"/>
      <c r="Q48" s="113"/>
      <c r="R48" s="156"/>
      <c r="S48" s="233"/>
      <c r="T48" s="179"/>
      <c r="U48" s="179"/>
      <c r="V48" s="162"/>
      <c r="W48" s="146"/>
    </row>
    <row r="49" spans="1:25" ht="12.75">
      <c r="A49" s="197"/>
      <c r="B49" s="233"/>
      <c r="C49" s="161" t="s">
        <v>139</v>
      </c>
      <c r="D49" s="148"/>
      <c r="E49" s="148"/>
      <c r="F49" s="156"/>
      <c r="G49" s="113"/>
      <c r="H49" s="160"/>
      <c r="I49" s="161"/>
      <c r="J49" s="177"/>
      <c r="K49" s="238"/>
      <c r="L49" s="84"/>
      <c r="M49" s="239"/>
      <c r="N49" s="126"/>
      <c r="O49" s="240" t="s">
        <v>139</v>
      </c>
      <c r="P49" s="142"/>
      <c r="Q49" s="241" t="s">
        <v>148</v>
      </c>
      <c r="R49" s="218" t="s">
        <v>421</v>
      </c>
      <c r="S49" s="221"/>
      <c r="T49" s="242"/>
      <c r="U49" s="220"/>
      <c r="V49" s="243">
        <f>V46/(1-T47)</f>
        <v>1.4165</v>
      </c>
      <c r="W49" s="244">
        <f>V49*C10/V59</f>
        <v>0.5717</v>
      </c>
      <c r="Y49" s="178"/>
    </row>
    <row r="50" spans="1:23" ht="12.75">
      <c r="A50" s="197"/>
      <c r="B50" s="233"/>
      <c r="C50" s="245"/>
      <c r="D50" s="148"/>
      <c r="E50" s="153" t="s">
        <v>152</v>
      </c>
      <c r="F50" s="226" t="s">
        <v>424</v>
      </c>
      <c r="G50" s="113"/>
      <c r="H50" s="160"/>
      <c r="I50" s="179"/>
      <c r="J50" s="177">
        <f>SUM(J46:J48)</f>
        <v>1795.28</v>
      </c>
      <c r="K50" s="173"/>
      <c r="L50" s="84"/>
      <c r="M50" s="193"/>
      <c r="N50" s="194"/>
      <c r="O50" s="194"/>
      <c r="P50" s="194"/>
      <c r="Q50" s="194"/>
      <c r="R50" s="194"/>
      <c r="S50" s="194"/>
      <c r="T50" s="194"/>
      <c r="U50" s="194"/>
      <c r="V50" s="194"/>
      <c r="W50" s="103"/>
    </row>
    <row r="51" spans="1:23" ht="12.75">
      <c r="A51" s="197"/>
      <c r="B51" s="233"/>
      <c r="C51" s="161">
        <v>0</v>
      </c>
      <c r="D51" s="12" t="s">
        <v>51</v>
      </c>
      <c r="E51" s="153" t="s">
        <v>154</v>
      </c>
      <c r="F51" s="226" t="s">
        <v>142</v>
      </c>
      <c r="G51" s="227"/>
      <c r="H51" s="160">
        <f>(C51/100)</f>
        <v>0</v>
      </c>
      <c r="I51" s="246">
        <f>J50</f>
        <v>1795.28</v>
      </c>
      <c r="J51" s="177">
        <f>(+J50*H51)</f>
        <v>0</v>
      </c>
      <c r="K51" s="173">
        <f>J51/V59</f>
        <v>0</v>
      </c>
      <c r="L51" s="84"/>
      <c r="M51" s="197"/>
      <c r="N51" s="113"/>
      <c r="O51" s="113"/>
      <c r="P51" s="113"/>
      <c r="Q51" s="113"/>
      <c r="R51" s="113"/>
      <c r="S51" s="113"/>
      <c r="T51" s="113"/>
      <c r="U51" s="113"/>
      <c r="V51" s="113"/>
      <c r="W51" s="103"/>
    </row>
    <row r="52" spans="1:23" ht="13.5" thickBot="1">
      <c r="A52" s="197"/>
      <c r="B52" s="233"/>
      <c r="C52" s="161" t="s">
        <v>139</v>
      </c>
      <c r="D52" s="148"/>
      <c r="E52" s="148"/>
      <c r="F52" s="156"/>
      <c r="G52" s="113"/>
      <c r="H52" s="160"/>
      <c r="I52" s="161"/>
      <c r="J52" s="177"/>
      <c r="K52" s="238"/>
      <c r="L52" s="84"/>
      <c r="M52" s="197"/>
      <c r="N52" s="113"/>
      <c r="O52" s="113"/>
      <c r="P52" s="113"/>
      <c r="Q52" s="113"/>
      <c r="R52" s="113"/>
      <c r="S52" s="113"/>
      <c r="T52" s="113"/>
      <c r="U52" s="113"/>
      <c r="V52" s="113"/>
      <c r="W52" s="103"/>
    </row>
    <row r="53" spans="1:23" ht="20.25">
      <c r="A53" s="197"/>
      <c r="B53" s="233"/>
      <c r="C53" s="161" t="s">
        <v>139</v>
      </c>
      <c r="D53" s="148"/>
      <c r="E53" s="153" t="s">
        <v>155</v>
      </c>
      <c r="F53" s="226" t="s">
        <v>425</v>
      </c>
      <c r="G53" s="113"/>
      <c r="H53" s="160"/>
      <c r="I53" s="179"/>
      <c r="J53" s="177">
        <f>SUM(J50:J51)</f>
        <v>1795.28</v>
      </c>
      <c r="K53" s="238"/>
      <c r="L53" s="84"/>
      <c r="M53" s="197"/>
      <c r="N53" s="113"/>
      <c r="O53" s="113"/>
      <c r="P53" s="113"/>
      <c r="Q53" s="247" t="s">
        <v>157</v>
      </c>
      <c r="R53" s="248"/>
      <c r="S53" s="248"/>
      <c r="T53" s="248"/>
      <c r="U53" s="248"/>
      <c r="V53" s="248"/>
      <c r="W53" s="103"/>
    </row>
    <row r="54" spans="1:23" ht="13.5" thickBot="1">
      <c r="A54" s="197"/>
      <c r="B54" s="233"/>
      <c r="C54" s="237">
        <v>9</v>
      </c>
      <c r="D54" s="12" t="s">
        <v>51</v>
      </c>
      <c r="E54" s="153" t="s">
        <v>156</v>
      </c>
      <c r="F54" s="226" t="s">
        <v>427</v>
      </c>
      <c r="G54" s="227"/>
      <c r="H54" s="160">
        <f>(C54/100)</f>
        <v>0.09</v>
      </c>
      <c r="I54" s="246">
        <f>J53</f>
        <v>1795.28</v>
      </c>
      <c r="J54" s="177">
        <f>(+J53*H54)</f>
        <v>161.58</v>
      </c>
      <c r="K54" s="173">
        <f>J54/V59</f>
        <v>0.0326</v>
      </c>
      <c r="L54" s="84"/>
      <c r="M54" s="197"/>
      <c r="N54" s="113"/>
      <c r="O54" s="113"/>
      <c r="P54" s="113"/>
      <c r="Q54" s="249"/>
      <c r="R54" s="250"/>
      <c r="S54" s="250"/>
      <c r="T54" s="250"/>
      <c r="U54" s="250"/>
      <c r="V54" s="250"/>
      <c r="W54" s="103"/>
    </row>
    <row r="55" spans="1:23" ht="13.5" thickBot="1">
      <c r="A55" s="197"/>
      <c r="B55" s="233"/>
      <c r="C55" s="161" t="s">
        <v>139</v>
      </c>
      <c r="D55" s="148"/>
      <c r="E55" s="148"/>
      <c r="F55" s="156"/>
      <c r="G55" s="113"/>
      <c r="H55" s="160"/>
      <c r="I55" s="179"/>
      <c r="J55" s="177"/>
      <c r="K55" s="238"/>
      <c r="L55" s="84"/>
      <c r="M55" s="197"/>
      <c r="N55" s="113"/>
      <c r="O55" s="113"/>
      <c r="P55" s="113"/>
      <c r="Q55" s="731" t="s">
        <v>422</v>
      </c>
      <c r="R55" s="251" t="s">
        <v>431</v>
      </c>
      <c r="S55" s="252"/>
      <c r="T55" s="252"/>
      <c r="U55" s="252"/>
      <c r="V55" s="253">
        <f>C10*V49</f>
        <v>2833</v>
      </c>
      <c r="W55" s="254">
        <f>V55/V59</f>
        <v>0.5717</v>
      </c>
    </row>
    <row r="56" spans="1:23" ht="13.5" thickBot="1">
      <c r="A56" s="197"/>
      <c r="B56" s="233"/>
      <c r="C56" s="161" t="s">
        <v>139</v>
      </c>
      <c r="D56" s="148"/>
      <c r="E56" s="153" t="s">
        <v>158</v>
      </c>
      <c r="F56" s="226" t="s">
        <v>162</v>
      </c>
      <c r="G56" s="113"/>
      <c r="H56" s="160"/>
      <c r="I56" s="179"/>
      <c r="J56" s="177">
        <f>SUM(J53:J54)</f>
        <v>1956.86</v>
      </c>
      <c r="K56" s="238"/>
      <c r="L56" s="84"/>
      <c r="M56" s="197"/>
      <c r="N56" s="113"/>
      <c r="O56" s="113"/>
      <c r="P56" s="113"/>
      <c r="Q56" s="732" t="s">
        <v>159</v>
      </c>
      <c r="R56" s="154" t="s">
        <v>164</v>
      </c>
      <c r="S56" s="113"/>
      <c r="T56" s="113"/>
      <c r="U56" s="154"/>
      <c r="V56" s="127">
        <f>J59</f>
        <v>2122.64</v>
      </c>
      <c r="W56" s="254">
        <f>V56/V59</f>
        <v>0.4283</v>
      </c>
    </row>
    <row r="57" spans="1:23" ht="12.75">
      <c r="A57" s="197"/>
      <c r="B57" s="233"/>
      <c r="C57" s="255">
        <f>(15%*C54)+(9%*C54)+3.65+2</f>
        <v>7.81</v>
      </c>
      <c r="D57" s="12" t="s">
        <v>51</v>
      </c>
      <c r="E57" s="153" t="s">
        <v>165</v>
      </c>
      <c r="F57" s="226" t="s">
        <v>151</v>
      </c>
      <c r="G57" s="227"/>
      <c r="H57" s="160">
        <f>(C57/100)</f>
        <v>0.0781</v>
      </c>
      <c r="I57" s="179"/>
      <c r="J57" s="177">
        <f>(+J59*H57)</f>
        <v>165.78</v>
      </c>
      <c r="K57" s="173">
        <f>J57/V59</f>
        <v>0.0335</v>
      </c>
      <c r="L57" s="84"/>
      <c r="M57" s="197"/>
      <c r="N57" s="113"/>
      <c r="O57" s="113"/>
      <c r="P57" s="113"/>
      <c r="Q57" s="256"/>
      <c r="R57" s="257"/>
      <c r="S57" s="130"/>
      <c r="T57" s="130"/>
      <c r="U57" s="257"/>
      <c r="V57" s="258"/>
      <c r="W57" s="103"/>
    </row>
    <row r="58" spans="1:23" ht="13.5" thickBot="1">
      <c r="A58" s="197"/>
      <c r="B58" s="233"/>
      <c r="C58" s="161" t="s">
        <v>139</v>
      </c>
      <c r="D58" s="148"/>
      <c r="E58" s="148"/>
      <c r="F58" s="156"/>
      <c r="G58" s="113"/>
      <c r="H58" s="179"/>
      <c r="I58" s="179"/>
      <c r="J58" s="177"/>
      <c r="K58" s="238"/>
      <c r="L58" s="84"/>
      <c r="M58" s="197"/>
      <c r="N58" s="113"/>
      <c r="O58" s="113"/>
      <c r="P58" s="113"/>
      <c r="Q58" s="197"/>
      <c r="R58" s="113"/>
      <c r="S58" s="113"/>
      <c r="T58" s="113"/>
      <c r="U58" s="113"/>
      <c r="V58" s="155"/>
      <c r="W58" s="259"/>
    </row>
    <row r="59" spans="1:23" ht="16.5" thickBot="1">
      <c r="A59" s="260"/>
      <c r="B59" s="261"/>
      <c r="C59" s="262" t="s">
        <v>139</v>
      </c>
      <c r="D59" s="263"/>
      <c r="E59" s="264" t="s">
        <v>161</v>
      </c>
      <c r="F59" s="265" t="s">
        <v>426</v>
      </c>
      <c r="G59" s="266"/>
      <c r="H59" s="266"/>
      <c r="I59" s="266"/>
      <c r="J59" s="267">
        <f>J56/(1-H57)</f>
        <v>2122.64</v>
      </c>
      <c r="K59" s="268">
        <f>J59/V59</f>
        <v>0.4283</v>
      </c>
      <c r="L59" s="84"/>
      <c r="M59" s="260"/>
      <c r="N59" s="269"/>
      <c r="O59" s="269"/>
      <c r="P59" s="269"/>
      <c r="Q59" s="270" t="s">
        <v>163</v>
      </c>
      <c r="R59" s="271" t="s">
        <v>423</v>
      </c>
      <c r="S59" s="272"/>
      <c r="T59" s="272"/>
      <c r="U59" s="271"/>
      <c r="V59" s="273">
        <f>V55+J59</f>
        <v>4955.64</v>
      </c>
      <c r="W59" s="274">
        <f>SUM(W55:W58)</f>
        <v>1</v>
      </c>
    </row>
    <row r="61" ht="15.75">
      <c r="A61" s="69" t="s">
        <v>169</v>
      </c>
    </row>
    <row r="63" spans="1:19" ht="15.75">
      <c r="A63" s="69" t="str">
        <f>'Trator de Esteira'!A61</f>
        <v>Patos de Minas-MG, 16 de Novembro de 2015.</v>
      </c>
      <c r="G63" s="13"/>
      <c r="M63" s="11"/>
      <c r="S63" s="13"/>
    </row>
    <row r="64" spans="7:19" ht="15">
      <c r="G64" s="11"/>
      <c r="H64" s="11"/>
      <c r="I64" s="11"/>
      <c r="S64" s="11"/>
    </row>
    <row r="65" spans="7:19" ht="15">
      <c r="G65" s="11"/>
      <c r="H65" s="11"/>
      <c r="I65" s="11"/>
      <c r="S65" s="11"/>
    </row>
    <row r="67" spans="1:10" ht="12">
      <c r="A67" s="275"/>
      <c r="B67" s="275"/>
      <c r="C67" s="275"/>
      <c r="D67" s="275"/>
      <c r="E67" s="275"/>
      <c r="F67" s="275"/>
      <c r="G67" s="275"/>
      <c r="H67" s="275"/>
      <c r="I67" s="275"/>
      <c r="J67" s="275"/>
    </row>
    <row r="91" ht="2.25" customHeight="1"/>
    <row r="92" ht="12.75" customHeight="1"/>
    <row r="93" ht="0.75" customHeight="1"/>
    <row r="118" spans="12:15" ht="12.75">
      <c r="L118" s="276"/>
      <c r="M118" s="277"/>
      <c r="N118" s="276"/>
      <c r="O118" s="277"/>
    </row>
    <row r="119" spans="12:15" ht="12.75">
      <c r="L119" s="276"/>
      <c r="M119" s="276"/>
      <c r="N119" s="276"/>
      <c r="O119" s="278"/>
    </row>
    <row r="120" spans="12:15" ht="12.75">
      <c r="L120" s="276"/>
      <c r="M120" s="276"/>
      <c r="N120" s="276"/>
      <c r="O120" s="278"/>
    </row>
    <row r="121" spans="12:15" ht="12.75">
      <c r="L121" s="276"/>
      <c r="M121" s="276"/>
      <c r="N121" s="276"/>
      <c r="O121" s="278"/>
    </row>
    <row r="122" spans="12:15" ht="12.75">
      <c r="L122" s="2"/>
      <c r="M122" s="2"/>
      <c r="N122" s="2"/>
      <c r="O122" s="279"/>
    </row>
    <row r="123" spans="1:11" ht="12.75">
      <c r="A123" s="276"/>
      <c r="B123" s="276"/>
      <c r="C123" s="276"/>
      <c r="D123" s="276"/>
      <c r="E123" s="280"/>
      <c r="F123" s="280"/>
      <c r="G123" s="280"/>
      <c r="H123" s="280"/>
      <c r="I123" s="280"/>
      <c r="J123" s="280"/>
      <c r="K123" s="280"/>
    </row>
    <row r="124" spans="1:12" ht="12.75">
      <c r="A124" s="276"/>
      <c r="B124" s="276"/>
      <c r="C124" s="276"/>
      <c r="D124" s="276"/>
      <c r="E124" s="276"/>
      <c r="F124" s="276"/>
      <c r="G124" s="276"/>
      <c r="H124" s="276"/>
      <c r="I124" s="276"/>
      <c r="J124" s="281"/>
      <c r="K124" s="281"/>
      <c r="L124" s="178"/>
    </row>
    <row r="125" spans="1:11" ht="12.75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</row>
    <row r="126" spans="1:11" ht="12.75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</row>
    <row r="127" spans="1:11" ht="12.7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</row>
    <row r="128" spans="1:11" ht="12.7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</row>
    <row r="129" spans="1:12" ht="12.75">
      <c r="A129" s="2"/>
      <c r="B129" s="2"/>
      <c r="C129" s="2"/>
      <c r="D129" s="2"/>
      <c r="E129" s="282"/>
      <c r="F129" s="2"/>
      <c r="G129" s="2"/>
      <c r="H129" s="2"/>
      <c r="I129" s="2"/>
      <c r="J129" s="2"/>
      <c r="K129" s="2"/>
      <c r="L129" s="4"/>
    </row>
    <row r="130" spans="1:12" ht="12.75">
      <c r="A130" s="2"/>
      <c r="B130" s="2"/>
      <c r="C130" s="2"/>
      <c r="D130" s="2"/>
      <c r="E130" s="283"/>
      <c r="F130" s="283"/>
      <c r="G130" s="283"/>
      <c r="H130" s="283"/>
      <c r="I130" s="2"/>
      <c r="J130" s="2"/>
      <c r="K130" s="2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83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4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5"/>
      <c r="C135" s="2"/>
      <c r="D135" s="279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5"/>
      <c r="C138" s="2"/>
      <c r="D138" s="279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">
      <c r="A141" s="4"/>
      <c r="B141" s="6"/>
      <c r="C141" s="4"/>
      <c r="D141" s="284"/>
      <c r="E141" s="4"/>
      <c r="F141" s="4"/>
      <c r="G141" s="4"/>
      <c r="H141" s="4"/>
      <c r="I141" s="4"/>
      <c r="J141" s="4"/>
      <c r="K141" s="4"/>
      <c r="L141" s="4"/>
    </row>
    <row r="142" spans="1:12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4"/>
    </row>
    <row r="145" spans="1:12" ht="12">
      <c r="A145" s="4"/>
      <c r="B145" s="4"/>
      <c r="C145" s="6"/>
      <c r="D145" s="4"/>
      <c r="E145" s="4"/>
      <c r="F145" s="4"/>
      <c r="G145" s="285"/>
      <c r="H145" s="285"/>
      <c r="L145" s="4"/>
    </row>
    <row r="146" spans="1:12" ht="12">
      <c r="A146" s="7"/>
      <c r="B146" s="7"/>
      <c r="C146" s="7"/>
      <c r="D146" s="7"/>
      <c r="E146" s="7"/>
      <c r="F146" s="7"/>
      <c r="G146" s="7"/>
      <c r="H146" s="7"/>
      <c r="L146" s="4"/>
    </row>
    <row r="147" spans="1:12" ht="12">
      <c r="A147" s="4"/>
      <c r="B147" s="4"/>
      <c r="C147" s="4"/>
      <c r="D147" s="4"/>
      <c r="E147" s="4"/>
      <c r="F147" s="4"/>
      <c r="G147" s="4"/>
      <c r="H147" s="4"/>
      <c r="L147" s="4"/>
    </row>
    <row r="148" spans="1:12" ht="12">
      <c r="A148" s="4"/>
      <c r="B148" s="4"/>
      <c r="C148" s="4"/>
      <c r="D148" s="4"/>
      <c r="E148" s="4"/>
      <c r="F148" s="4"/>
      <c r="G148" s="4"/>
      <c r="H148" s="4"/>
      <c r="L148" s="4"/>
    </row>
    <row r="149" spans="2:12" ht="12">
      <c r="B149" s="286"/>
      <c r="C149" s="287"/>
      <c r="G149" s="288"/>
      <c r="H149" s="287"/>
      <c r="L149" s="4"/>
    </row>
    <row r="150" spans="7:12" ht="12">
      <c r="G150" s="289"/>
      <c r="L150" s="4"/>
    </row>
    <row r="151" spans="7:12" ht="12">
      <c r="G151" s="289"/>
      <c r="L151" s="4"/>
    </row>
    <row r="152" spans="2:12" ht="12">
      <c r="B152" s="286"/>
      <c r="C152" s="287"/>
      <c r="G152" s="288"/>
      <c r="H152" s="287"/>
      <c r="L152" s="4"/>
    </row>
    <row r="153" spans="7:12" ht="12">
      <c r="G153" s="29"/>
      <c r="L153" s="4"/>
    </row>
    <row r="154" spans="7:12" ht="12">
      <c r="G154" s="29"/>
      <c r="L154" s="4"/>
    </row>
    <row r="155" spans="2:12" ht="12">
      <c r="B155" s="3"/>
      <c r="C155" s="290"/>
      <c r="G155" s="288"/>
      <c r="H155" s="287"/>
      <c r="L155" s="4"/>
    </row>
    <row r="156" spans="7:12" ht="12">
      <c r="G156" s="29"/>
      <c r="L156" s="4"/>
    </row>
    <row r="157" spans="7:12" ht="12">
      <c r="G157" s="29"/>
      <c r="L157" s="4"/>
    </row>
    <row r="158" spans="2:12" ht="12">
      <c r="B158" s="3"/>
      <c r="C158" s="291"/>
      <c r="G158" s="288"/>
      <c r="H158" s="292"/>
      <c r="L158" s="4"/>
    </row>
    <row r="159" spans="10:12" ht="12">
      <c r="J159" s="4"/>
      <c r="K159" s="4"/>
      <c r="L159" s="4"/>
    </row>
    <row r="160" spans="1:12" ht="12">
      <c r="A160" s="293"/>
      <c r="B160" s="293"/>
      <c r="C160" s="293"/>
      <c r="D160" s="293"/>
      <c r="E160" s="293"/>
      <c r="F160" s="293"/>
      <c r="G160" s="293"/>
      <c r="H160" s="293"/>
      <c r="I160" s="293"/>
      <c r="J160" s="7"/>
      <c r="K160" s="7"/>
      <c r="L160" s="4"/>
    </row>
    <row r="161" spans="10:12" ht="12">
      <c r="J161" s="4"/>
      <c r="K161" s="4"/>
      <c r="L161" s="4"/>
    </row>
    <row r="162" spans="2:12" ht="12">
      <c r="B162" s="286"/>
      <c r="D162" s="292"/>
      <c r="J162" s="4"/>
      <c r="K162" s="4"/>
      <c r="L162" s="4"/>
    </row>
    <row r="163" spans="10:12" ht="12">
      <c r="J163" s="4"/>
      <c r="K163" s="4"/>
      <c r="L163" s="4"/>
    </row>
    <row r="164" spans="1:12" ht="12">
      <c r="A164" s="293"/>
      <c r="B164" s="293"/>
      <c r="C164" s="293"/>
      <c r="D164" s="293"/>
      <c r="E164" s="293"/>
      <c r="F164" s="293"/>
      <c r="G164" s="293"/>
      <c r="H164" s="293"/>
      <c r="I164" s="293"/>
      <c r="J164" s="7"/>
      <c r="K164" s="7"/>
      <c r="L164" s="4"/>
    </row>
    <row r="165" spans="1:12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</sheetData>
  <sheetProtection password="F184" sheet="1"/>
  <mergeCells count="6">
    <mergeCell ref="R36:S36"/>
    <mergeCell ref="F44:G44"/>
    <mergeCell ref="A1:K1"/>
    <mergeCell ref="M1:W1"/>
    <mergeCell ref="A5:J5"/>
    <mergeCell ref="R11:S11"/>
  </mergeCells>
  <printOptions horizontalCentered="1" verticalCentered="1"/>
  <pageMargins left="0" right="0" top="0.7874015748031497" bottom="0.1968503937007874" header="0.31496062992125984" footer="0.31496062992125984"/>
  <pageSetup horizontalDpi="600" verticalDpi="600" orientation="landscape" paperSize="9" scale="50" r:id="rId1"/>
  <headerFooter alignWithMargins="0">
    <oddHeader>&amp;CPágina &amp;P de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66"/>
  <sheetViews>
    <sheetView zoomScalePageLayoutView="0" workbookViewId="0" topLeftCell="A10">
      <selection activeCell="D35" sqref="D35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2" width="11.00390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834" t="s">
        <v>170</v>
      </c>
      <c r="B1" s="835"/>
      <c r="C1" s="835"/>
      <c r="D1" s="835"/>
      <c r="E1" s="835"/>
      <c r="F1" s="835"/>
      <c r="G1" s="835"/>
      <c r="H1" s="835"/>
      <c r="I1" s="835"/>
      <c r="J1" s="835"/>
      <c r="K1" s="836"/>
      <c r="L1" s="84"/>
      <c r="M1" s="820" t="str">
        <f>A1</f>
        <v>CUSTO   DE   CAMINHÃO   BASCULANTE   -   EQUIPE   MULTI   USO</v>
      </c>
      <c r="N1" s="821"/>
      <c r="O1" s="821"/>
      <c r="P1" s="821"/>
      <c r="Q1" s="821"/>
      <c r="R1" s="821"/>
      <c r="S1" s="821"/>
      <c r="T1" s="821"/>
      <c r="U1" s="821"/>
      <c r="V1" s="821"/>
      <c r="W1" s="822"/>
    </row>
    <row r="2" spans="1:23" ht="20.25">
      <c r="A2" s="85" t="s">
        <v>49</v>
      </c>
      <c r="B2" s="86"/>
      <c r="C2" s="87"/>
      <c r="D2" s="86"/>
      <c r="E2" s="86"/>
      <c r="F2" s="86"/>
      <c r="G2" s="88"/>
      <c r="H2" s="86"/>
      <c r="I2" s="86"/>
      <c r="J2" s="86"/>
      <c r="K2" s="89"/>
      <c r="L2" s="84"/>
      <c r="M2" s="90" t="str">
        <f>A2</f>
        <v>DEMONSTRATIVO MENSAL DE CUSTO OPERACIONAL UNITÁRIO DE VEÍCULO </v>
      </c>
      <c r="N2" s="91"/>
      <c r="O2" s="91"/>
      <c r="P2" s="91"/>
      <c r="Q2" s="91"/>
      <c r="R2" s="91"/>
      <c r="S2" s="92"/>
      <c r="T2" s="91"/>
      <c r="U2" s="91"/>
      <c r="V2" s="91"/>
      <c r="W2" s="93"/>
    </row>
    <row r="3" spans="1:23" ht="21" thickBot="1">
      <c r="A3" s="94" t="s">
        <v>171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  <c r="L3" s="84"/>
      <c r="M3" s="98" t="s">
        <v>52</v>
      </c>
      <c r="N3" s="99"/>
      <c r="O3" s="99"/>
      <c r="P3" s="99"/>
      <c r="Q3" s="99"/>
      <c r="R3" s="99"/>
      <c r="S3" s="99"/>
      <c r="T3" s="99"/>
      <c r="U3" s="99"/>
      <c r="V3" s="99"/>
      <c r="W3" s="100" t="s">
        <v>51</v>
      </c>
    </row>
    <row r="4" spans="1:23" ht="12.7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84"/>
      <c r="M4" s="104" t="str">
        <f>A6</f>
        <v>Descrição do Veiculo: CAMINHÃO   BASCULANTE   -   Tipo   MBB 1618  ou   SIMILAR</v>
      </c>
      <c r="N4" s="105"/>
      <c r="O4" s="105"/>
      <c r="P4" s="105"/>
      <c r="Q4" s="105"/>
      <c r="R4" s="105"/>
      <c r="S4" s="105"/>
      <c r="T4" s="105"/>
      <c r="U4" s="105"/>
      <c r="V4" s="106"/>
      <c r="W4" s="107"/>
    </row>
    <row r="5" spans="1:23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  <c r="L5" s="84"/>
      <c r="M5" s="109" t="str">
        <f>A7</f>
        <v>Ano de Fabricação: 2005</v>
      </c>
      <c r="N5" s="110"/>
      <c r="O5" s="110" t="str">
        <f>A9</f>
        <v>Contratante:</v>
      </c>
      <c r="P5" s="111" t="str">
        <f>B9</f>
        <v>PREFEITURA   MUNICIPAL   DE   PATOS   DE   MINAS - MG</v>
      </c>
      <c r="Q5" s="112"/>
      <c r="R5" s="110"/>
      <c r="S5" s="110"/>
      <c r="T5" s="110"/>
      <c r="U5" s="110"/>
      <c r="V5" s="113"/>
      <c r="W5" s="103"/>
    </row>
    <row r="6" spans="1:23" ht="12.75">
      <c r="A6" s="104" t="s">
        <v>54</v>
      </c>
      <c r="B6" s="105"/>
      <c r="C6" s="105"/>
      <c r="D6" s="105"/>
      <c r="E6" s="114"/>
      <c r="F6" s="105"/>
      <c r="G6" s="105"/>
      <c r="H6" s="105"/>
      <c r="I6" s="105"/>
      <c r="J6" s="106"/>
      <c r="K6" s="115"/>
      <c r="L6" s="84"/>
      <c r="M6" s="109" t="str">
        <f>A8</f>
        <v>Tipo de Combustível: Diesel</v>
      </c>
      <c r="N6" s="110"/>
      <c r="O6" s="110"/>
      <c r="P6" s="110"/>
      <c r="Q6" s="116"/>
      <c r="R6" s="110"/>
      <c r="S6" s="110"/>
      <c r="T6" s="110"/>
      <c r="U6" s="110"/>
      <c r="V6" s="113"/>
      <c r="W6" s="103"/>
    </row>
    <row r="7" spans="1:23" ht="12.75">
      <c r="A7" s="109" t="s">
        <v>55</v>
      </c>
      <c r="B7" s="110"/>
      <c r="C7" s="110"/>
      <c r="D7" s="110"/>
      <c r="E7" s="110"/>
      <c r="F7" s="110"/>
      <c r="G7" s="110"/>
      <c r="H7" s="110"/>
      <c r="I7" s="110"/>
      <c r="J7" s="113"/>
      <c r="K7" s="117"/>
      <c r="L7" s="84"/>
      <c r="M7" s="118" t="str">
        <f>A10</f>
        <v>Km Estimada: </v>
      </c>
      <c r="N7" s="113"/>
      <c r="O7" s="119">
        <f>C10</f>
        <v>2500</v>
      </c>
      <c r="P7" s="113" t="str">
        <f>D10</f>
        <v>Km</v>
      </c>
      <c r="Q7" s="113"/>
      <c r="R7" s="113"/>
      <c r="S7" s="113"/>
      <c r="T7" s="113"/>
      <c r="U7" s="113"/>
      <c r="V7" s="113"/>
      <c r="W7" s="103"/>
    </row>
    <row r="8" spans="1:23" ht="12.75">
      <c r="A8" s="109" t="s">
        <v>56</v>
      </c>
      <c r="B8" s="110"/>
      <c r="C8" s="110"/>
      <c r="D8" s="110"/>
      <c r="E8" s="110"/>
      <c r="F8" s="110"/>
      <c r="G8" s="110"/>
      <c r="H8" s="110" t="s">
        <v>57</v>
      </c>
      <c r="I8" s="120">
        <v>0</v>
      </c>
      <c r="J8" s="113"/>
      <c r="K8" s="117"/>
      <c r="L8" s="84"/>
      <c r="M8" s="121" t="str">
        <f>A11</f>
        <v>Horário:</v>
      </c>
      <c r="N8" s="122">
        <v>0.333333333333333</v>
      </c>
      <c r="O8" s="123" t="s">
        <v>58</v>
      </c>
      <c r="P8" s="122">
        <f>D11</f>
        <v>0.708333333333333</v>
      </c>
      <c r="Q8" s="124" t="s">
        <v>59</v>
      </c>
      <c r="R8" s="125"/>
      <c r="S8" s="126"/>
      <c r="T8" s="126"/>
      <c r="U8" s="126"/>
      <c r="V8" s="126"/>
      <c r="W8" s="103"/>
    </row>
    <row r="9" spans="1:23" ht="15.75">
      <c r="A9" s="109" t="s">
        <v>60</v>
      </c>
      <c r="B9" s="111" t="s">
        <v>61</v>
      </c>
      <c r="C9" s="110"/>
      <c r="D9" s="110"/>
      <c r="E9" s="110"/>
      <c r="F9" s="110"/>
      <c r="G9" s="110"/>
      <c r="H9" s="110"/>
      <c r="I9" s="120"/>
      <c r="J9" s="113"/>
      <c r="K9" s="117"/>
      <c r="L9" s="84"/>
      <c r="M9" s="118"/>
      <c r="N9" s="127"/>
      <c r="O9" s="128"/>
      <c r="P9" s="127"/>
      <c r="Q9" s="129"/>
      <c r="R9" s="127"/>
      <c r="S9" s="113"/>
      <c r="T9" s="113"/>
      <c r="U9" s="113"/>
      <c r="V9" s="113"/>
      <c r="W9" s="103"/>
    </row>
    <row r="10" spans="1:28" ht="12.75">
      <c r="A10" s="109" t="s">
        <v>62</v>
      </c>
      <c r="B10" s="130"/>
      <c r="C10" s="131">
        <v>2500</v>
      </c>
      <c r="D10" s="110" t="s">
        <v>63</v>
      </c>
      <c r="E10" s="130"/>
      <c r="F10" s="130"/>
      <c r="G10" s="113"/>
      <c r="H10" s="113"/>
      <c r="I10" s="113"/>
      <c r="J10" s="113"/>
      <c r="K10" s="117"/>
      <c r="L10" s="84"/>
      <c r="M10" s="132"/>
      <c r="N10" s="133"/>
      <c r="O10" s="133"/>
      <c r="P10" s="133"/>
      <c r="Q10" s="133"/>
      <c r="R10" s="106"/>
      <c r="S10" s="134"/>
      <c r="T10" s="133"/>
      <c r="U10" s="135" t="s">
        <v>64</v>
      </c>
      <c r="V10" s="136"/>
      <c r="W10" s="103"/>
      <c r="AB10" s="1">
        <f>180.55*20</f>
        <v>3611</v>
      </c>
    </row>
    <row r="11" spans="1:28" ht="12.75">
      <c r="A11" s="121" t="s">
        <v>65</v>
      </c>
      <c r="B11" s="137">
        <v>0.291666666666667</v>
      </c>
      <c r="C11" s="123" t="s">
        <v>58</v>
      </c>
      <c r="D11" s="137">
        <v>0.708333333333333</v>
      </c>
      <c r="E11" s="124" t="s">
        <v>59</v>
      </c>
      <c r="F11" s="125" t="s">
        <v>172</v>
      </c>
      <c r="G11" s="126"/>
      <c r="H11" s="126"/>
      <c r="I11" s="126"/>
      <c r="J11" s="126"/>
      <c r="K11" s="117"/>
      <c r="L11" s="84"/>
      <c r="M11" s="16" t="s">
        <v>66</v>
      </c>
      <c r="N11" s="12" t="s">
        <v>67</v>
      </c>
      <c r="O11" s="12" t="s">
        <v>68</v>
      </c>
      <c r="P11" s="12" t="s">
        <v>67</v>
      </c>
      <c r="Q11" s="12" t="s">
        <v>69</v>
      </c>
      <c r="R11" s="815" t="s">
        <v>70</v>
      </c>
      <c r="S11" s="816"/>
      <c r="T11" s="12" t="s">
        <v>71</v>
      </c>
      <c r="U11" s="12" t="s">
        <v>72</v>
      </c>
      <c r="V11" s="138" t="s">
        <v>73</v>
      </c>
      <c r="W11" s="103"/>
      <c r="AB11" s="1">
        <f>1120.82*4</f>
        <v>4483.28</v>
      </c>
    </row>
    <row r="12" spans="1:23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  <c r="L12" s="84"/>
      <c r="M12" s="141"/>
      <c r="N12" s="142"/>
      <c r="O12" s="142"/>
      <c r="P12" s="142"/>
      <c r="Q12" s="142"/>
      <c r="R12" s="126"/>
      <c r="S12" s="143"/>
      <c r="T12" s="142"/>
      <c r="U12" s="144" t="s">
        <v>74</v>
      </c>
      <c r="V12" s="145"/>
      <c r="W12" s="146"/>
    </row>
    <row r="13" spans="1:28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  <c r="L13" s="84"/>
      <c r="M13" s="132"/>
      <c r="N13" s="133"/>
      <c r="O13" s="133"/>
      <c r="P13" s="148"/>
      <c r="Q13" s="148"/>
      <c r="R13" s="113"/>
      <c r="S13" s="113"/>
      <c r="T13" s="133"/>
      <c r="U13" s="148"/>
      <c r="V13" s="136"/>
      <c r="W13" s="103"/>
      <c r="AB13" s="1">
        <f>SUM(AB10:AB12)</f>
        <v>8094.28</v>
      </c>
    </row>
    <row r="14" spans="1:23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  <c r="L14" s="84"/>
      <c r="M14" s="152"/>
      <c r="N14" s="148"/>
      <c r="O14" s="148"/>
      <c r="P14" s="148"/>
      <c r="Q14" s="153" t="s">
        <v>77</v>
      </c>
      <c r="R14" s="154" t="s">
        <v>78</v>
      </c>
      <c r="S14" s="155"/>
      <c r="T14" s="148"/>
      <c r="U14" s="148"/>
      <c r="V14" s="138" t="s">
        <v>73</v>
      </c>
      <c r="W14" s="103"/>
    </row>
    <row r="15" spans="1:23" ht="12.75">
      <c r="A15" s="152"/>
      <c r="B15" s="148"/>
      <c r="C15" s="148"/>
      <c r="D15" s="148"/>
      <c r="E15" s="148"/>
      <c r="F15" s="148"/>
      <c r="G15" s="148"/>
      <c r="H15" s="148"/>
      <c r="I15" s="148"/>
      <c r="J15" s="156"/>
      <c r="K15" s="117"/>
      <c r="L15" s="84"/>
      <c r="M15" s="152"/>
      <c r="N15" s="148"/>
      <c r="O15" s="148"/>
      <c r="P15" s="148"/>
      <c r="Q15" s="148"/>
      <c r="R15" s="113"/>
      <c r="S15" s="155"/>
      <c r="T15" s="148"/>
      <c r="U15" s="157"/>
      <c r="V15" s="156"/>
      <c r="W15" s="103"/>
    </row>
    <row r="16" spans="1:23" ht="12.75">
      <c r="A16" s="152"/>
      <c r="B16" s="148"/>
      <c r="C16" s="148"/>
      <c r="D16" s="148"/>
      <c r="E16" s="148"/>
      <c r="F16" s="153" t="s">
        <v>79</v>
      </c>
      <c r="G16" s="12" t="s">
        <v>80</v>
      </c>
      <c r="H16" s="148"/>
      <c r="I16" s="148"/>
      <c r="J16" s="156"/>
      <c r="K16" s="117"/>
      <c r="L16" s="84"/>
      <c r="M16" s="158">
        <v>2.5</v>
      </c>
      <c r="N16" s="12" t="s">
        <v>81</v>
      </c>
      <c r="O16" s="159">
        <v>1000000</v>
      </c>
      <c r="P16" s="12" t="s">
        <v>63</v>
      </c>
      <c r="Q16" s="153" t="s">
        <v>82</v>
      </c>
      <c r="R16" s="154" t="s">
        <v>83</v>
      </c>
      <c r="S16" s="155"/>
      <c r="T16" s="160">
        <f>(M16/O16)</f>
        <v>2.5E-06</v>
      </c>
      <c r="U16" s="161">
        <f>I18</f>
        <v>51272.4</v>
      </c>
      <c r="V16" s="162">
        <f aca="true" t="shared" si="0" ref="V16:V22">(+U16*T16)</f>
        <v>0.1282</v>
      </c>
      <c r="W16" s="163">
        <f>V16*C10/V59</f>
        <v>0.0551</v>
      </c>
    </row>
    <row r="17" spans="1:23" ht="12.75">
      <c r="A17" s="152"/>
      <c r="B17" s="148"/>
      <c r="C17" s="148"/>
      <c r="D17" s="148"/>
      <c r="E17" s="148"/>
      <c r="F17" s="148"/>
      <c r="G17" s="148"/>
      <c r="H17" s="148"/>
      <c r="I17" s="148"/>
      <c r="J17" s="156"/>
      <c r="K17" s="117"/>
      <c r="L17" s="84"/>
      <c r="M17" s="164">
        <v>15</v>
      </c>
      <c r="N17" s="12" t="s">
        <v>51</v>
      </c>
      <c r="O17" s="159" t="s">
        <v>84</v>
      </c>
      <c r="P17" s="165" t="s">
        <v>84</v>
      </c>
      <c r="Q17" s="153" t="s">
        <v>85</v>
      </c>
      <c r="R17" s="154" t="s">
        <v>86</v>
      </c>
      <c r="S17" s="155"/>
      <c r="T17" s="160">
        <f>(+M17/100)</f>
        <v>0.15</v>
      </c>
      <c r="U17" s="166">
        <f>V16</f>
        <v>0.1282</v>
      </c>
      <c r="V17" s="162">
        <f t="shared" si="0"/>
        <v>0.0192</v>
      </c>
      <c r="W17" s="163">
        <f>V17*C10/V59</f>
        <v>0.0083</v>
      </c>
    </row>
    <row r="18" spans="1:26" ht="12.75">
      <c r="A18" s="167">
        <v>100</v>
      </c>
      <c r="B18" s="168" t="s">
        <v>51</v>
      </c>
      <c r="C18" s="255">
        <f>12*8</f>
        <v>96</v>
      </c>
      <c r="D18" s="12" t="s">
        <v>87</v>
      </c>
      <c r="E18" s="170" t="s">
        <v>88</v>
      </c>
      <c r="F18" s="170" t="s">
        <v>89</v>
      </c>
      <c r="G18" s="170" t="s">
        <v>90</v>
      </c>
      <c r="H18" s="171">
        <f>(+A18/C18)/100</f>
        <v>0.0104167</v>
      </c>
      <c r="I18" s="169">
        <f>I20-(M18*U18)</f>
        <v>51272.4</v>
      </c>
      <c r="J18" s="172">
        <f>(H18*I18)</f>
        <v>534.09</v>
      </c>
      <c r="K18" s="173">
        <f>J18/V59</f>
        <v>0.0918</v>
      </c>
      <c r="L18" s="84"/>
      <c r="M18" s="174">
        <v>6</v>
      </c>
      <c r="N18" s="12" t="s">
        <v>91</v>
      </c>
      <c r="O18" s="175">
        <v>100000</v>
      </c>
      <c r="P18" s="12" t="s">
        <v>63</v>
      </c>
      <c r="Q18" s="153" t="s">
        <v>92</v>
      </c>
      <c r="R18" s="116" t="s">
        <v>93</v>
      </c>
      <c r="S18" s="112"/>
      <c r="T18" s="160">
        <f>(+M18/O18)</f>
        <v>6E-05</v>
      </c>
      <c r="U18" s="255">
        <v>1454.6</v>
      </c>
      <c r="V18" s="162">
        <f t="shared" si="0"/>
        <v>0.0873</v>
      </c>
      <c r="W18" s="163">
        <f>V18*C10/V59</f>
        <v>0.0375</v>
      </c>
      <c r="Z18" s="1">
        <f>180.55*25</f>
        <v>4513.75</v>
      </c>
    </row>
    <row r="19" spans="1:26" ht="12.75">
      <c r="A19" s="176">
        <f>A18</f>
        <v>100</v>
      </c>
      <c r="B19" s="12" t="s">
        <v>51</v>
      </c>
      <c r="C19" s="161">
        <f>C18</f>
        <v>96</v>
      </c>
      <c r="D19" s="12" t="s">
        <v>87</v>
      </c>
      <c r="E19" s="153" t="s">
        <v>88</v>
      </c>
      <c r="F19" s="153" t="s">
        <v>94</v>
      </c>
      <c r="G19" s="153" t="s">
        <v>95</v>
      </c>
      <c r="H19" s="160">
        <f>(+A19/C19)/100</f>
        <v>0.0104167</v>
      </c>
      <c r="I19" s="161">
        <f>I18*I8</f>
        <v>0</v>
      </c>
      <c r="J19" s="172">
        <f>(H19*I19)</f>
        <v>0</v>
      </c>
      <c r="K19" s="173" t="s">
        <v>96</v>
      </c>
      <c r="L19" s="84"/>
      <c r="M19" s="174">
        <v>1</v>
      </c>
      <c r="N19" s="12" t="s">
        <v>97</v>
      </c>
      <c r="O19" s="237">
        <v>3.5</v>
      </c>
      <c r="P19" s="12" t="s">
        <v>63</v>
      </c>
      <c r="Q19" s="153" t="s">
        <v>98</v>
      </c>
      <c r="R19" s="116" t="s">
        <v>99</v>
      </c>
      <c r="S19" s="112"/>
      <c r="T19" s="160">
        <f>(+M19/O19)</f>
        <v>0.2857143</v>
      </c>
      <c r="U19" s="255">
        <v>2.95</v>
      </c>
      <c r="V19" s="162">
        <f t="shared" si="0"/>
        <v>0.8429</v>
      </c>
      <c r="W19" s="163">
        <f>V19*C10/V59</f>
        <v>0.3624</v>
      </c>
      <c r="Z19" s="1">
        <f>1120.82</f>
        <v>1120.82</v>
      </c>
    </row>
    <row r="20" spans="1:26" ht="12.75">
      <c r="A20" s="766">
        <v>18</v>
      </c>
      <c r="B20" s="168" t="s">
        <v>51</v>
      </c>
      <c r="C20" s="169">
        <v>12</v>
      </c>
      <c r="D20" s="12" t="s">
        <v>87</v>
      </c>
      <c r="E20" s="170" t="s">
        <v>88</v>
      </c>
      <c r="F20" s="170" t="s">
        <v>100</v>
      </c>
      <c r="G20" s="170" t="s">
        <v>101</v>
      </c>
      <c r="H20" s="171">
        <f>(+A20/C20)/100</f>
        <v>0.015</v>
      </c>
      <c r="I20" s="255">
        <v>60000</v>
      </c>
      <c r="J20" s="172">
        <f>(H20*I20)</f>
        <v>900</v>
      </c>
      <c r="K20" s="173">
        <f>J20/V59</f>
        <v>0.1548</v>
      </c>
      <c r="L20" s="84"/>
      <c r="M20" s="174">
        <v>10.27</v>
      </c>
      <c r="N20" s="12" t="s">
        <v>97</v>
      </c>
      <c r="O20" s="159">
        <v>7500</v>
      </c>
      <c r="P20" s="12" t="s">
        <v>63</v>
      </c>
      <c r="Q20" s="153" t="s">
        <v>102</v>
      </c>
      <c r="R20" s="154" t="s">
        <v>103</v>
      </c>
      <c r="S20" s="155"/>
      <c r="T20" s="160">
        <f>(+M20/O20)</f>
        <v>0.0013693</v>
      </c>
      <c r="U20" s="255">
        <v>19</v>
      </c>
      <c r="V20" s="162">
        <f t="shared" si="0"/>
        <v>0.026</v>
      </c>
      <c r="W20" s="163">
        <f>V20*C10/V59</f>
        <v>0.0112</v>
      </c>
      <c r="Z20" s="1">
        <f>SUM(Z18:Z19)</f>
        <v>5634.57</v>
      </c>
    </row>
    <row r="21" spans="1:23" ht="12.75">
      <c r="A21" s="176">
        <f>A20</f>
        <v>18</v>
      </c>
      <c r="B21" s="12" t="s">
        <v>51</v>
      </c>
      <c r="C21" s="161">
        <f>C20</f>
        <v>12</v>
      </c>
      <c r="D21" s="12" t="s">
        <v>87</v>
      </c>
      <c r="E21" s="153" t="s">
        <v>88</v>
      </c>
      <c r="F21" s="153" t="s">
        <v>104</v>
      </c>
      <c r="G21" s="153" t="s">
        <v>105</v>
      </c>
      <c r="H21" s="160">
        <f>(+A21/C21)/100</f>
        <v>0.015</v>
      </c>
      <c r="I21" s="161">
        <f>I20*I8</f>
        <v>0</v>
      </c>
      <c r="J21" s="172">
        <f>(H21*I21)</f>
        <v>0</v>
      </c>
      <c r="K21" s="173" t="s">
        <v>96</v>
      </c>
      <c r="L21" s="84"/>
      <c r="M21" s="174">
        <v>9.5</v>
      </c>
      <c r="N21" s="12" t="s">
        <v>97</v>
      </c>
      <c r="O21" s="159">
        <v>30000</v>
      </c>
      <c r="P21" s="12" t="s">
        <v>63</v>
      </c>
      <c r="Q21" s="153" t="s">
        <v>106</v>
      </c>
      <c r="R21" s="154" t="s">
        <v>107</v>
      </c>
      <c r="S21" s="155"/>
      <c r="T21" s="160">
        <f>(+M21/O21)</f>
        <v>0.0003167</v>
      </c>
      <c r="U21" s="255">
        <v>22</v>
      </c>
      <c r="V21" s="162">
        <f t="shared" si="0"/>
        <v>0.007</v>
      </c>
      <c r="W21" s="163">
        <f>V21*C10/V59</f>
        <v>0.003</v>
      </c>
    </row>
    <row r="22" spans="1:26" ht="12.75">
      <c r="A22" s="176">
        <v>1</v>
      </c>
      <c r="B22" s="12" t="s">
        <v>108</v>
      </c>
      <c r="C22" s="161">
        <v>12</v>
      </c>
      <c r="D22" s="12" t="s">
        <v>87</v>
      </c>
      <c r="E22" s="153" t="s">
        <v>88</v>
      </c>
      <c r="F22" s="153" t="s">
        <v>109</v>
      </c>
      <c r="G22" s="153" t="s">
        <v>110</v>
      </c>
      <c r="H22" s="160">
        <f>A22/C22</f>
        <v>0.0833333</v>
      </c>
      <c r="I22" s="169">
        <v>450</v>
      </c>
      <c r="J22" s="177">
        <f>(I22*H22)</f>
        <v>37.5</v>
      </c>
      <c r="K22" s="173">
        <f>J22/V59</f>
        <v>0.0064</v>
      </c>
      <c r="L22" s="84"/>
      <c r="M22" s="174">
        <v>1</v>
      </c>
      <c r="N22" s="12" t="s">
        <v>91</v>
      </c>
      <c r="O22" s="159">
        <v>4000</v>
      </c>
      <c r="P22" s="12" t="s">
        <v>63</v>
      </c>
      <c r="Q22" s="153" t="s">
        <v>111</v>
      </c>
      <c r="R22" s="154" t="s">
        <v>112</v>
      </c>
      <c r="S22" s="155"/>
      <c r="T22" s="160">
        <f>(+M22/O22)</f>
        <v>0.00025</v>
      </c>
      <c r="U22" s="255">
        <v>100</v>
      </c>
      <c r="V22" s="162">
        <f t="shared" si="0"/>
        <v>0.025</v>
      </c>
      <c r="W22" s="163">
        <f>V22*C10/V59</f>
        <v>0.0107</v>
      </c>
      <c r="Z22" s="178">
        <f>Z20/25</f>
        <v>225.38</v>
      </c>
    </row>
    <row r="23" spans="1:23" ht="12.75">
      <c r="A23" s="176">
        <v>1</v>
      </c>
      <c r="B23" s="12" t="s">
        <v>108</v>
      </c>
      <c r="C23" s="161">
        <v>12</v>
      </c>
      <c r="D23" s="12" t="s">
        <v>87</v>
      </c>
      <c r="E23" s="153" t="s">
        <v>88</v>
      </c>
      <c r="F23" s="153" t="s">
        <v>113</v>
      </c>
      <c r="G23" s="153" t="s">
        <v>114</v>
      </c>
      <c r="H23" s="160">
        <f>A23/C23</f>
        <v>0.0833333</v>
      </c>
      <c r="I23" s="169">
        <v>1200</v>
      </c>
      <c r="J23" s="177">
        <f>(I23*H23)</f>
        <v>100</v>
      </c>
      <c r="K23" s="173">
        <f>J23/V59</f>
        <v>0.0172</v>
      </c>
      <c r="L23" s="84"/>
      <c r="M23" s="174"/>
      <c r="N23" s="148"/>
      <c r="O23" s="159"/>
      <c r="P23" s="148"/>
      <c r="Q23" s="148"/>
      <c r="R23" s="113"/>
      <c r="S23" s="155"/>
      <c r="T23" s="179"/>
      <c r="U23" s="161"/>
      <c r="V23" s="162"/>
      <c r="W23" s="146"/>
    </row>
    <row r="24" spans="1:23" ht="12.75">
      <c r="A24" s="176">
        <v>3</v>
      </c>
      <c r="B24" s="12" t="s">
        <v>115</v>
      </c>
      <c r="C24" s="161">
        <v>12</v>
      </c>
      <c r="D24" s="12" t="s">
        <v>87</v>
      </c>
      <c r="E24" s="153" t="s">
        <v>88</v>
      </c>
      <c r="F24" s="153" t="s">
        <v>116</v>
      </c>
      <c r="G24" s="153" t="s">
        <v>492</v>
      </c>
      <c r="H24" s="160">
        <f>1/12</f>
        <v>0.0833333</v>
      </c>
      <c r="I24" s="161">
        <f>(+I20*A24)/100</f>
        <v>1800</v>
      </c>
      <c r="J24" s="177">
        <f>(I24*H24)</f>
        <v>150</v>
      </c>
      <c r="K24" s="173">
        <f>J24/V59</f>
        <v>0.0258</v>
      </c>
      <c r="L24" s="84"/>
      <c r="M24" s="294"/>
      <c r="N24" s="142"/>
      <c r="O24" s="144"/>
      <c r="P24" s="142"/>
      <c r="Q24" s="223" t="s">
        <v>118</v>
      </c>
      <c r="R24" s="218" t="s">
        <v>119</v>
      </c>
      <c r="S24" s="219"/>
      <c r="T24" s="220"/>
      <c r="U24" s="221"/>
      <c r="V24" s="243">
        <f>SUM(V16:V22)</f>
        <v>1.1356</v>
      </c>
      <c r="W24" s="184">
        <f>V24*C10/V59</f>
        <v>0.4882</v>
      </c>
    </row>
    <row r="25" spans="1:23" ht="12.75">
      <c r="A25" s="185"/>
      <c r="B25" s="148"/>
      <c r="C25" s="161"/>
      <c r="D25" s="148"/>
      <c r="E25" s="148"/>
      <c r="F25" s="148"/>
      <c r="G25" s="148"/>
      <c r="H25" s="186"/>
      <c r="I25" s="179"/>
      <c r="J25" s="187"/>
      <c r="K25" s="117"/>
      <c r="L25" s="84"/>
      <c r="M25" s="152"/>
      <c r="N25" s="148"/>
      <c r="O25" s="148"/>
      <c r="P25" s="148"/>
      <c r="Q25" s="295"/>
      <c r="R25" s="155"/>
      <c r="S25" s="155"/>
      <c r="T25" s="148"/>
      <c r="U25" s="157"/>
      <c r="V25" s="296"/>
      <c r="W25" s="103"/>
    </row>
    <row r="26" spans="1:23" ht="12.75">
      <c r="A26" s="185"/>
      <c r="B26" s="148"/>
      <c r="C26" s="161"/>
      <c r="D26" s="148"/>
      <c r="E26" s="148"/>
      <c r="F26" s="153" t="s">
        <v>120</v>
      </c>
      <c r="G26" s="153" t="s">
        <v>121</v>
      </c>
      <c r="H26" s="186"/>
      <c r="I26" s="179"/>
      <c r="J26" s="177">
        <f>SUM(J18:J24)</f>
        <v>1721.59</v>
      </c>
      <c r="K26" s="192"/>
      <c r="L26" s="84"/>
      <c r="M26" s="26"/>
      <c r="N26" s="25"/>
      <c r="O26" s="25"/>
      <c r="P26" s="25"/>
      <c r="Q26" s="25"/>
      <c r="R26" s="194"/>
      <c r="S26" s="194"/>
      <c r="T26" s="25"/>
      <c r="U26" s="25"/>
      <c r="V26" s="297"/>
      <c r="W26" s="103"/>
    </row>
    <row r="27" spans="1:23" ht="12.75">
      <c r="A27" s="176">
        <v>100</v>
      </c>
      <c r="B27" s="12" t="s">
        <v>51</v>
      </c>
      <c r="C27" s="161">
        <v>1</v>
      </c>
      <c r="D27" s="12" t="s">
        <v>87</v>
      </c>
      <c r="E27" s="153" t="s">
        <v>88</v>
      </c>
      <c r="F27" s="148"/>
      <c r="G27" s="12" t="s">
        <v>122</v>
      </c>
      <c r="H27" s="195">
        <f>(+A27/C27)/100</f>
        <v>1</v>
      </c>
      <c r="I27" s="161"/>
      <c r="J27" s="177">
        <f>J26*H27</f>
        <v>1721.59</v>
      </c>
      <c r="K27" s="196">
        <f>J27/V59</f>
        <v>0.2961</v>
      </c>
      <c r="L27" s="84"/>
      <c r="M27" s="152"/>
      <c r="N27" s="148"/>
      <c r="O27" s="148"/>
      <c r="P27" s="148"/>
      <c r="Q27" s="148"/>
      <c r="R27" s="113"/>
      <c r="S27" s="113"/>
      <c r="T27" s="148"/>
      <c r="U27" s="157"/>
      <c r="V27" s="298"/>
      <c r="W27" s="103"/>
    </row>
    <row r="28" spans="1:23" ht="12.75">
      <c r="A28" s="185"/>
      <c r="B28" s="148"/>
      <c r="C28" s="161"/>
      <c r="D28" s="148"/>
      <c r="E28" s="148"/>
      <c r="F28" s="148"/>
      <c r="G28" s="148"/>
      <c r="H28" s="195"/>
      <c r="I28" s="161"/>
      <c r="J28" s="177"/>
      <c r="K28" s="192"/>
      <c r="L28" s="84"/>
      <c r="M28" s="141"/>
      <c r="N28" s="142"/>
      <c r="O28" s="142"/>
      <c r="P28" s="142"/>
      <c r="Q28" s="142"/>
      <c r="R28" s="126"/>
      <c r="S28" s="126"/>
      <c r="T28" s="142"/>
      <c r="U28" s="299"/>
      <c r="V28" s="300"/>
      <c r="W28" s="103"/>
    </row>
    <row r="29" spans="1:23" ht="12.75">
      <c r="A29" s="185"/>
      <c r="B29" s="148"/>
      <c r="C29" s="161"/>
      <c r="D29" s="148"/>
      <c r="E29" s="169"/>
      <c r="F29" s="170"/>
      <c r="G29" s="170"/>
      <c r="H29" s="199"/>
      <c r="I29" s="200"/>
      <c r="J29" s="172"/>
      <c r="K29" s="173"/>
      <c r="L29" s="84"/>
      <c r="M29" s="197"/>
      <c r="N29" s="113"/>
      <c r="O29" s="113"/>
      <c r="P29" s="113"/>
      <c r="Q29" s="113"/>
      <c r="R29" s="113"/>
      <c r="S29" s="113"/>
      <c r="T29" s="113"/>
      <c r="U29" s="127"/>
      <c r="V29" s="127"/>
      <c r="W29" s="103"/>
    </row>
    <row r="30" spans="1:23" ht="12.75">
      <c r="A30" s="167">
        <v>2</v>
      </c>
      <c r="B30" s="168" t="s">
        <v>123</v>
      </c>
      <c r="C30" s="175">
        <f>C10</f>
        <v>2500</v>
      </c>
      <c r="D30" s="168" t="s">
        <v>124</v>
      </c>
      <c r="E30" s="201">
        <f>(+C30*H30)</f>
        <v>50</v>
      </c>
      <c r="F30" s="170" t="s">
        <v>125</v>
      </c>
      <c r="G30" s="202" t="s">
        <v>126</v>
      </c>
      <c r="H30" s="199">
        <f>(+A30/100)</f>
        <v>0.02</v>
      </c>
      <c r="I30" s="203">
        <f>V24</f>
        <v>1.1356</v>
      </c>
      <c r="J30" s="172">
        <f>E30*I30</f>
        <v>56.78</v>
      </c>
      <c r="K30" s="173">
        <f>J30/V$59</f>
        <v>0.0098</v>
      </c>
      <c r="L30" s="84"/>
      <c r="M30" s="197"/>
      <c r="N30" s="113"/>
      <c r="O30" s="113"/>
      <c r="P30" s="113"/>
      <c r="Q30" s="113"/>
      <c r="R30" s="113"/>
      <c r="S30" s="113"/>
      <c r="T30" s="113"/>
      <c r="U30" s="127"/>
      <c r="V30" s="127"/>
      <c r="W30" s="103"/>
    </row>
    <row r="31" spans="1:23" ht="12.75">
      <c r="A31" s="176"/>
      <c r="B31" s="12"/>
      <c r="C31" s="161"/>
      <c r="D31" s="12"/>
      <c r="E31" s="159"/>
      <c r="F31" s="153"/>
      <c r="G31" s="153"/>
      <c r="H31" s="195"/>
      <c r="I31" s="169"/>
      <c r="J31" s="177"/>
      <c r="K31" s="173"/>
      <c r="L31" s="84"/>
      <c r="M31" s="101"/>
      <c r="N31" s="102"/>
      <c r="O31" s="102"/>
      <c r="P31" s="102"/>
      <c r="Q31" s="102"/>
      <c r="R31" s="102"/>
      <c r="S31" s="102"/>
      <c r="T31" s="102"/>
      <c r="U31" s="102"/>
      <c r="V31" s="102"/>
      <c r="W31" s="103"/>
    </row>
    <row r="32" spans="1:23" ht="12.75">
      <c r="A32" s="174"/>
      <c r="B32" s="148"/>
      <c r="C32" s="161"/>
      <c r="D32" s="148"/>
      <c r="E32" s="148"/>
      <c r="F32" s="170" t="s">
        <v>132</v>
      </c>
      <c r="G32" s="148" t="s">
        <v>445</v>
      </c>
      <c r="H32" s="186"/>
      <c r="I32" s="157"/>
      <c r="J32" s="177">
        <f>SUM(J27:J30)</f>
        <v>1778.37</v>
      </c>
      <c r="K32" s="173"/>
      <c r="L32" s="84"/>
      <c r="M32" s="301"/>
      <c r="N32" s="302"/>
      <c r="O32" s="302"/>
      <c r="P32" s="302"/>
      <c r="Q32" s="303"/>
      <c r="R32" s="302"/>
      <c r="S32" s="302"/>
      <c r="T32" s="302"/>
      <c r="U32" s="304"/>
      <c r="V32" s="302"/>
      <c r="W32" s="93"/>
    </row>
    <row r="33" spans="1:23" ht="20.25">
      <c r="A33" s="174"/>
      <c r="B33" s="148"/>
      <c r="C33" s="161"/>
      <c r="D33" s="148"/>
      <c r="E33" s="424"/>
      <c r="F33" s="170"/>
      <c r="G33" s="170"/>
      <c r="H33" s="423"/>
      <c r="I33" s="428"/>
      <c r="J33" s="425"/>
      <c r="K33" s="173"/>
      <c r="L33" s="84"/>
      <c r="M33" s="94" t="s">
        <v>127</v>
      </c>
      <c r="N33" s="95"/>
      <c r="O33" s="95"/>
      <c r="P33" s="95"/>
      <c r="Q33" s="95"/>
      <c r="R33" s="95"/>
      <c r="S33" s="95"/>
      <c r="T33" s="95"/>
      <c r="U33" s="95"/>
      <c r="V33" s="208"/>
      <c r="W33" s="93"/>
    </row>
    <row r="34" spans="1:23" ht="12.75">
      <c r="A34" s="760">
        <v>2.5</v>
      </c>
      <c r="B34" s="168" t="s">
        <v>198</v>
      </c>
      <c r="C34" s="161"/>
      <c r="D34" s="12"/>
      <c r="E34" s="424"/>
      <c r="F34" s="170" t="s">
        <v>449</v>
      </c>
      <c r="G34" s="226" t="s">
        <v>448</v>
      </c>
      <c r="H34" s="186">
        <f>A34/100</f>
        <v>0.025</v>
      </c>
      <c r="I34" s="246">
        <f>J32</f>
        <v>1778.37</v>
      </c>
      <c r="J34" s="172">
        <f>H34*I34</f>
        <v>44.46</v>
      </c>
      <c r="K34" s="173">
        <f>J34/V$59</f>
        <v>0.0076</v>
      </c>
      <c r="L34" s="84"/>
      <c r="M34" s="209"/>
      <c r="N34" s="210"/>
      <c r="O34" s="210"/>
      <c r="P34" s="210"/>
      <c r="Q34" s="210"/>
      <c r="R34" s="210"/>
      <c r="S34" s="210"/>
      <c r="T34" s="210"/>
      <c r="U34" s="210"/>
      <c r="V34" s="210"/>
      <c r="W34" s="93"/>
    </row>
    <row r="35" spans="1:23" ht="12.75">
      <c r="A35" s="176"/>
      <c r="B35" s="12"/>
      <c r="C35" s="161"/>
      <c r="D35" s="12"/>
      <c r="E35" s="159"/>
      <c r="F35" s="153"/>
      <c r="G35" s="153"/>
      <c r="H35" s="195"/>
      <c r="I35" s="169"/>
      <c r="J35" s="177"/>
      <c r="K35" s="173"/>
      <c r="L35" s="84"/>
      <c r="M35" s="188"/>
      <c r="N35" s="106"/>
      <c r="O35" s="133"/>
      <c r="P35" s="133"/>
      <c r="Q35" s="133"/>
      <c r="R35" s="136"/>
      <c r="S35" s="134"/>
      <c r="T35" s="133"/>
      <c r="U35" s="135" t="s">
        <v>64</v>
      </c>
      <c r="V35" s="211"/>
      <c r="W35" s="93"/>
    </row>
    <row r="36" spans="1:23" ht="12.75">
      <c r="A36" s="101"/>
      <c r="B36" s="212"/>
      <c r="C36" s="212"/>
      <c r="D36" s="212"/>
      <c r="E36" s="212"/>
      <c r="F36" s="212"/>
      <c r="G36" s="212"/>
      <c r="H36" s="213"/>
      <c r="I36" s="214"/>
      <c r="J36" s="214"/>
      <c r="K36" s="93"/>
      <c r="L36" s="84"/>
      <c r="M36" s="197"/>
      <c r="N36" s="113"/>
      <c r="O36" s="12" t="s">
        <v>75</v>
      </c>
      <c r="P36" s="12" t="s">
        <v>67</v>
      </c>
      <c r="Q36" s="12" t="s">
        <v>69</v>
      </c>
      <c r="R36" s="815" t="s">
        <v>128</v>
      </c>
      <c r="S36" s="816"/>
      <c r="T36" s="12" t="s">
        <v>71</v>
      </c>
      <c r="U36" s="12" t="s">
        <v>72</v>
      </c>
      <c r="V36" s="177" t="s">
        <v>129</v>
      </c>
      <c r="W36" s="215"/>
    </row>
    <row r="37" spans="1:23" ht="12.75">
      <c r="A37" s="167"/>
      <c r="B37" s="168"/>
      <c r="C37" s="175"/>
      <c r="D37" s="168"/>
      <c r="E37" s="216"/>
      <c r="F37" s="170"/>
      <c r="G37" s="202"/>
      <c r="H37" s="199"/>
      <c r="I37" s="203"/>
      <c r="J37" s="172"/>
      <c r="K37" s="173"/>
      <c r="L37" s="84"/>
      <c r="M37" s="209"/>
      <c r="N37" s="210"/>
      <c r="O37" s="150"/>
      <c r="P37" s="150"/>
      <c r="Q37" s="150"/>
      <c r="R37" s="151"/>
      <c r="S37" s="217"/>
      <c r="T37" s="150"/>
      <c r="U37" s="144" t="s">
        <v>74</v>
      </c>
      <c r="V37" s="151"/>
      <c r="W37" s="103"/>
    </row>
    <row r="38" spans="1:23" ht="12.75">
      <c r="A38" s="152"/>
      <c r="B38" s="148"/>
      <c r="C38" s="179"/>
      <c r="D38" s="148"/>
      <c r="E38" s="148"/>
      <c r="F38" s="148"/>
      <c r="G38" s="148"/>
      <c r="H38" s="148"/>
      <c r="I38" s="179"/>
      <c r="J38" s="187"/>
      <c r="K38" s="173"/>
      <c r="L38" s="84"/>
      <c r="M38" s="197"/>
      <c r="N38" s="113"/>
      <c r="O38" s="148"/>
      <c r="P38" s="133"/>
      <c r="Q38" s="154" t="s">
        <v>130</v>
      </c>
      <c r="R38" s="218" t="s">
        <v>131</v>
      </c>
      <c r="S38" s="219"/>
      <c r="T38" s="220"/>
      <c r="U38" s="221"/>
      <c r="V38" s="39" t="s">
        <v>73</v>
      </c>
      <c r="W38" s="222"/>
    </row>
    <row r="39" spans="1:23" ht="12.75">
      <c r="A39" s="141"/>
      <c r="B39" s="142"/>
      <c r="C39" s="144"/>
      <c r="D39" s="142"/>
      <c r="E39" s="142"/>
      <c r="F39" s="223" t="s">
        <v>203</v>
      </c>
      <c r="G39" s="218" t="s">
        <v>450</v>
      </c>
      <c r="H39" s="224"/>
      <c r="I39" s="224"/>
      <c r="J39" s="225">
        <f>SUM(J32:J34)</f>
        <v>1822.83</v>
      </c>
      <c r="K39" s="196">
        <f>J39/V59</f>
        <v>0.3135</v>
      </c>
      <c r="L39" s="84"/>
      <c r="M39" s="197"/>
      <c r="N39" s="113"/>
      <c r="O39" s="148"/>
      <c r="P39" s="148"/>
      <c r="Q39" s="154" t="s">
        <v>133</v>
      </c>
      <c r="R39" s="226" t="s">
        <v>134</v>
      </c>
      <c r="S39" s="227"/>
      <c r="T39" s="179"/>
      <c r="U39" s="166">
        <f>V24</f>
        <v>1.1356</v>
      </c>
      <c r="V39" s="162">
        <f>$V$24</f>
        <v>1.1356</v>
      </c>
      <c r="W39" s="103"/>
    </row>
    <row r="40" spans="1:23" ht="12.75">
      <c r="A40" s="197"/>
      <c r="B40" s="113"/>
      <c r="C40" s="113"/>
      <c r="D40" s="113"/>
      <c r="E40" s="113"/>
      <c r="F40" s="154"/>
      <c r="G40" s="154"/>
      <c r="H40" s="154"/>
      <c r="I40" s="154"/>
      <c r="J40" s="127"/>
      <c r="K40" s="228"/>
      <c r="L40" s="84"/>
      <c r="M40" s="197"/>
      <c r="N40" s="113"/>
      <c r="O40" s="161"/>
      <c r="P40" s="12"/>
      <c r="Q40" s="154"/>
      <c r="R40" s="226"/>
      <c r="S40" s="227"/>
      <c r="T40" s="160"/>
      <c r="U40" s="179"/>
      <c r="V40" s="162"/>
      <c r="W40" s="163"/>
    </row>
    <row r="41" spans="1:23" ht="20.25">
      <c r="A41" s="229" t="s">
        <v>136</v>
      </c>
      <c r="B41" s="230"/>
      <c r="C41" s="230"/>
      <c r="D41" s="230"/>
      <c r="E41" s="230"/>
      <c r="F41" s="230"/>
      <c r="G41" s="230"/>
      <c r="H41" s="230"/>
      <c r="I41" s="230"/>
      <c r="J41" s="230"/>
      <c r="K41" s="192"/>
      <c r="L41" s="84"/>
      <c r="M41" s="197"/>
      <c r="N41" s="113"/>
      <c r="O41" s="161">
        <f>C48</f>
        <v>5.5</v>
      </c>
      <c r="P41" s="12" t="s">
        <v>51</v>
      </c>
      <c r="Q41" s="154" t="s">
        <v>135</v>
      </c>
      <c r="R41" s="226" t="s">
        <v>138</v>
      </c>
      <c r="S41" s="227"/>
      <c r="T41" s="160">
        <f>(+O41/100)</f>
        <v>0.055</v>
      </c>
      <c r="U41" s="179"/>
      <c r="V41" s="162">
        <f>(+V39*T41)</f>
        <v>0.0625</v>
      </c>
      <c r="W41" s="163">
        <f>V41*C10/V59</f>
        <v>0.0269</v>
      </c>
    </row>
    <row r="42" spans="1:23" ht="20.25">
      <c r="A42" s="197"/>
      <c r="B42" s="113"/>
      <c r="C42" s="113"/>
      <c r="D42" s="113"/>
      <c r="E42" s="113"/>
      <c r="F42" s="113"/>
      <c r="G42" s="155"/>
      <c r="H42" s="113"/>
      <c r="I42" s="113"/>
      <c r="J42" s="113"/>
      <c r="K42" s="97"/>
      <c r="L42" s="84"/>
      <c r="M42" s="197"/>
      <c r="N42" s="113"/>
      <c r="O42" s="161" t="s">
        <v>139</v>
      </c>
      <c r="P42" s="148"/>
      <c r="Q42" s="154" t="s">
        <v>137</v>
      </c>
      <c r="R42" s="226" t="s">
        <v>418</v>
      </c>
      <c r="S42" s="227"/>
      <c r="T42" s="179"/>
      <c r="U42" s="179"/>
      <c r="V42" s="162">
        <f>SUM(V39:V41)</f>
        <v>1.1981</v>
      </c>
      <c r="W42" s="163"/>
    </row>
    <row r="43" spans="1:23" ht="12.75">
      <c r="A43" s="188"/>
      <c r="B43" s="134"/>
      <c r="C43" s="133"/>
      <c r="D43" s="133"/>
      <c r="E43" s="133"/>
      <c r="F43" s="231"/>
      <c r="G43" s="182"/>
      <c r="H43" s="15"/>
      <c r="I43" s="135" t="s">
        <v>64</v>
      </c>
      <c r="J43" s="136"/>
      <c r="K43" s="117"/>
      <c r="L43" s="84"/>
      <c r="M43" s="197"/>
      <c r="N43" s="113"/>
      <c r="O43" s="161">
        <f>C51</f>
        <v>0</v>
      </c>
      <c r="P43" s="12" t="s">
        <v>51</v>
      </c>
      <c r="Q43" s="154" t="s">
        <v>140</v>
      </c>
      <c r="R43" s="226" t="s">
        <v>142</v>
      </c>
      <c r="S43" s="227"/>
      <c r="T43" s="160">
        <f>(+O43/100)</f>
        <v>0</v>
      </c>
      <c r="U43" s="232">
        <f>V42</f>
        <v>1.1981</v>
      </c>
      <c r="V43" s="162">
        <f>(+V42*T43)</f>
        <v>0</v>
      </c>
      <c r="W43" s="163">
        <f>V43*C10/V59</f>
        <v>0</v>
      </c>
    </row>
    <row r="44" spans="1:23" ht="12.75">
      <c r="A44" s="197"/>
      <c r="B44" s="233"/>
      <c r="C44" s="12" t="s">
        <v>75</v>
      </c>
      <c r="D44" s="12" t="s">
        <v>67</v>
      </c>
      <c r="E44" s="12" t="s">
        <v>69</v>
      </c>
      <c r="F44" s="815" t="s">
        <v>70</v>
      </c>
      <c r="G44" s="816"/>
      <c r="H44" s="12" t="s">
        <v>71</v>
      </c>
      <c r="I44" s="12" t="s">
        <v>72</v>
      </c>
      <c r="J44" s="138" t="s">
        <v>73</v>
      </c>
      <c r="K44" s="117"/>
      <c r="L44" s="84"/>
      <c r="M44" s="197"/>
      <c r="N44" s="113"/>
      <c r="O44" s="161" t="s">
        <v>139</v>
      </c>
      <c r="P44" s="148"/>
      <c r="Q44" s="154" t="s">
        <v>141</v>
      </c>
      <c r="R44" s="226" t="s">
        <v>419</v>
      </c>
      <c r="S44" s="227"/>
      <c r="T44" s="179"/>
      <c r="U44" s="179"/>
      <c r="V44" s="162">
        <f>SUM(V42:V43)</f>
        <v>1.1981</v>
      </c>
      <c r="W44" s="163"/>
    </row>
    <row r="45" spans="1:23" ht="12.75">
      <c r="A45" s="197"/>
      <c r="B45" s="233"/>
      <c r="C45" s="142"/>
      <c r="D45" s="142"/>
      <c r="E45" s="142"/>
      <c r="F45" s="145"/>
      <c r="G45" s="126"/>
      <c r="H45" s="150"/>
      <c r="I45" s="144" t="s">
        <v>74</v>
      </c>
      <c r="J45" s="145"/>
      <c r="K45" s="234"/>
      <c r="L45" s="84"/>
      <c r="M45" s="197"/>
      <c r="N45" s="113"/>
      <c r="O45" s="161">
        <f>C54</f>
        <v>9</v>
      </c>
      <c r="P45" s="12" t="s">
        <v>51</v>
      </c>
      <c r="Q45" s="154" t="s">
        <v>143</v>
      </c>
      <c r="R45" s="226" t="s">
        <v>145</v>
      </c>
      <c r="S45" s="227"/>
      <c r="T45" s="160">
        <f>(+O45/100)</f>
        <v>0.09</v>
      </c>
      <c r="U45" s="232">
        <f>V44</f>
        <v>1.1981</v>
      </c>
      <c r="V45" s="162">
        <f>(+V44*T45)</f>
        <v>0.1078</v>
      </c>
      <c r="W45" s="163">
        <f>V45*C10/V59</f>
        <v>0.0463</v>
      </c>
    </row>
    <row r="46" spans="1:23" ht="12.75">
      <c r="A46" s="197"/>
      <c r="B46" s="233"/>
      <c r="C46" s="148"/>
      <c r="D46" s="148"/>
      <c r="E46" s="153" t="s">
        <v>146</v>
      </c>
      <c r="F46" s="181" t="s">
        <v>176</v>
      </c>
      <c r="G46" s="106"/>
      <c r="H46" s="235"/>
      <c r="I46" s="161">
        <f>J39</f>
        <v>1822.83</v>
      </c>
      <c r="J46" s="236">
        <f>J39</f>
        <v>1822.83</v>
      </c>
      <c r="K46" s="117"/>
      <c r="L46" s="84"/>
      <c r="M46" s="197"/>
      <c r="N46" s="113"/>
      <c r="O46" s="161" t="s">
        <v>139</v>
      </c>
      <c r="P46" s="148"/>
      <c r="Q46" s="154" t="s">
        <v>144</v>
      </c>
      <c r="R46" s="226" t="s">
        <v>420</v>
      </c>
      <c r="S46" s="227"/>
      <c r="T46" s="179"/>
      <c r="U46" s="179"/>
      <c r="V46" s="162">
        <f>SUM(V44:V45)</f>
        <v>1.3059</v>
      </c>
      <c r="W46" s="163"/>
    </row>
    <row r="47" spans="1:23" ht="12.75">
      <c r="A47" s="197"/>
      <c r="B47" s="233"/>
      <c r="C47" s="706"/>
      <c r="D47" s="12"/>
      <c r="E47" s="153"/>
      <c r="F47" s="226"/>
      <c r="G47" s="227"/>
      <c r="H47" s="160"/>
      <c r="I47" s="179"/>
      <c r="J47" s="177"/>
      <c r="K47" s="173"/>
      <c r="L47" s="84"/>
      <c r="M47" s="197"/>
      <c r="N47" s="113"/>
      <c r="O47" s="161">
        <f>C57</f>
        <v>7.81</v>
      </c>
      <c r="P47" s="12" t="s">
        <v>51</v>
      </c>
      <c r="Q47" s="154" t="s">
        <v>150</v>
      </c>
      <c r="R47" s="226" t="s">
        <v>151</v>
      </c>
      <c r="S47" s="227"/>
      <c r="T47" s="160">
        <f>(+O47/100)</f>
        <v>0.0781</v>
      </c>
      <c r="U47" s="179"/>
      <c r="V47" s="162">
        <f>(+V49*T47)</f>
        <v>0.1106</v>
      </c>
      <c r="W47" s="163">
        <f>V47*C10/V59</f>
        <v>0.0475</v>
      </c>
    </row>
    <row r="48" spans="1:23" ht="12.75">
      <c r="A48" s="197"/>
      <c r="B48" s="233"/>
      <c r="C48" s="237">
        <v>5.5</v>
      </c>
      <c r="D48" s="12" t="s">
        <v>51</v>
      </c>
      <c r="E48" s="153" t="s">
        <v>149</v>
      </c>
      <c r="F48" s="226" t="s">
        <v>138</v>
      </c>
      <c r="G48" s="227"/>
      <c r="H48" s="160">
        <f>(C48/100)</f>
        <v>0.055</v>
      </c>
      <c r="I48" s="179"/>
      <c r="J48" s="177">
        <f>(+J46*H48)</f>
        <v>100.26</v>
      </c>
      <c r="K48" s="173">
        <f>J48/V59</f>
        <v>0.0172</v>
      </c>
      <c r="L48" s="84"/>
      <c r="M48" s="197"/>
      <c r="N48" s="113"/>
      <c r="O48" s="161" t="s">
        <v>139</v>
      </c>
      <c r="P48" s="148"/>
      <c r="Q48" s="113"/>
      <c r="R48" s="156"/>
      <c r="S48" s="233"/>
      <c r="T48" s="179"/>
      <c r="U48" s="179"/>
      <c r="V48" s="162"/>
      <c r="W48" s="146"/>
    </row>
    <row r="49" spans="1:25" ht="12.75">
      <c r="A49" s="197"/>
      <c r="B49" s="233"/>
      <c r="C49" s="161" t="s">
        <v>139</v>
      </c>
      <c r="D49" s="148"/>
      <c r="E49" s="148"/>
      <c r="F49" s="156"/>
      <c r="G49" s="113"/>
      <c r="H49" s="160"/>
      <c r="I49" s="161"/>
      <c r="J49" s="177"/>
      <c r="K49" s="238"/>
      <c r="L49" s="84"/>
      <c r="M49" s="239"/>
      <c r="N49" s="126"/>
      <c r="O49" s="240" t="s">
        <v>139</v>
      </c>
      <c r="P49" s="142"/>
      <c r="Q49" s="241" t="s">
        <v>148</v>
      </c>
      <c r="R49" s="218" t="s">
        <v>421</v>
      </c>
      <c r="S49" s="221"/>
      <c r="T49" s="242"/>
      <c r="U49" s="220"/>
      <c r="V49" s="243">
        <f>V46/(1-T47)</f>
        <v>1.4165</v>
      </c>
      <c r="W49" s="244">
        <f>V49*C10/V59</f>
        <v>0.609</v>
      </c>
      <c r="Y49" s="178"/>
    </row>
    <row r="50" spans="1:23" ht="12.75">
      <c r="A50" s="197"/>
      <c r="B50" s="233"/>
      <c r="C50" s="245"/>
      <c r="D50" s="148"/>
      <c r="E50" s="153" t="s">
        <v>152</v>
      </c>
      <c r="F50" s="226" t="s">
        <v>424</v>
      </c>
      <c r="G50" s="113"/>
      <c r="H50" s="160"/>
      <c r="I50" s="179"/>
      <c r="J50" s="177">
        <f>SUM(J46:J48)</f>
        <v>1923.09</v>
      </c>
      <c r="K50" s="173"/>
      <c r="L50" s="84"/>
      <c r="M50" s="193"/>
      <c r="N50" s="194"/>
      <c r="O50" s="194"/>
      <c r="P50" s="194"/>
      <c r="Q50" s="194"/>
      <c r="R50" s="194"/>
      <c r="S50" s="194"/>
      <c r="T50" s="194"/>
      <c r="U50" s="194"/>
      <c r="V50" s="194"/>
      <c r="W50" s="103"/>
    </row>
    <row r="51" spans="1:23" ht="12.75">
      <c r="A51" s="197"/>
      <c r="B51" s="233"/>
      <c r="C51" s="161">
        <v>0</v>
      </c>
      <c r="D51" s="12" t="s">
        <v>51</v>
      </c>
      <c r="E51" s="153" t="s">
        <v>154</v>
      </c>
      <c r="F51" s="226" t="s">
        <v>142</v>
      </c>
      <c r="G51" s="227"/>
      <c r="H51" s="160">
        <f>(C51/100)</f>
        <v>0</v>
      </c>
      <c r="I51" s="246">
        <f>J50</f>
        <v>1923.09</v>
      </c>
      <c r="J51" s="177">
        <f>(+J50*H51)</f>
        <v>0</v>
      </c>
      <c r="K51" s="173">
        <f>J51/V59</f>
        <v>0</v>
      </c>
      <c r="L51" s="84"/>
      <c r="M51" s="197"/>
      <c r="N51" s="113"/>
      <c r="O51" s="113"/>
      <c r="P51" s="113"/>
      <c r="Q51" s="113"/>
      <c r="R51" s="113"/>
      <c r="S51" s="113"/>
      <c r="T51" s="113"/>
      <c r="U51" s="113"/>
      <c r="V51" s="113"/>
      <c r="W51" s="103"/>
    </row>
    <row r="52" spans="1:23" ht="13.5" thickBot="1">
      <c r="A52" s="197"/>
      <c r="B52" s="233"/>
      <c r="C52" s="161" t="s">
        <v>139</v>
      </c>
      <c r="D52" s="148"/>
      <c r="E52" s="148"/>
      <c r="F52" s="156"/>
      <c r="G52" s="113"/>
      <c r="H52" s="160"/>
      <c r="I52" s="161"/>
      <c r="J52" s="177"/>
      <c r="K52" s="238"/>
      <c r="L52" s="84"/>
      <c r="M52" s="197"/>
      <c r="N52" s="113"/>
      <c r="O52" s="113"/>
      <c r="P52" s="113"/>
      <c r="Q52" s="113"/>
      <c r="R52" s="113"/>
      <c r="S52" s="113"/>
      <c r="T52" s="113"/>
      <c r="U52" s="113"/>
      <c r="V52" s="113"/>
      <c r="W52" s="103"/>
    </row>
    <row r="53" spans="1:23" ht="20.25">
      <c r="A53" s="197"/>
      <c r="B53" s="233"/>
      <c r="C53" s="161" t="s">
        <v>139</v>
      </c>
      <c r="D53" s="148"/>
      <c r="E53" s="153" t="s">
        <v>155</v>
      </c>
      <c r="F53" s="226" t="s">
        <v>425</v>
      </c>
      <c r="G53" s="113"/>
      <c r="H53" s="160"/>
      <c r="I53" s="179"/>
      <c r="J53" s="177">
        <f>SUM(J50:J51)</f>
        <v>1923.09</v>
      </c>
      <c r="K53" s="238"/>
      <c r="L53" s="84"/>
      <c r="M53" s="197"/>
      <c r="N53" s="113"/>
      <c r="O53" s="113"/>
      <c r="P53" s="113"/>
      <c r="Q53" s="247" t="s">
        <v>157</v>
      </c>
      <c r="R53" s="248"/>
      <c r="S53" s="248"/>
      <c r="T53" s="248"/>
      <c r="U53" s="248"/>
      <c r="V53" s="248"/>
      <c r="W53" s="103"/>
    </row>
    <row r="54" spans="1:23" ht="13.5" thickBot="1">
      <c r="A54" s="197"/>
      <c r="B54" s="233"/>
      <c r="C54" s="237">
        <v>9</v>
      </c>
      <c r="D54" s="12" t="s">
        <v>51</v>
      </c>
      <c r="E54" s="153" t="s">
        <v>156</v>
      </c>
      <c r="F54" s="226" t="s">
        <v>427</v>
      </c>
      <c r="G54" s="227"/>
      <c r="H54" s="160">
        <f>(C54/100)</f>
        <v>0.09</v>
      </c>
      <c r="I54" s="246">
        <f>J53</f>
        <v>1923.09</v>
      </c>
      <c r="J54" s="177">
        <f>(+J53*H54)</f>
        <v>173.08</v>
      </c>
      <c r="K54" s="173">
        <f>J54/V59</f>
        <v>0.0298</v>
      </c>
      <c r="L54" s="84"/>
      <c r="M54" s="197"/>
      <c r="N54" s="113"/>
      <c r="O54" s="113"/>
      <c r="P54" s="113"/>
      <c r="Q54" s="249"/>
      <c r="R54" s="250"/>
      <c r="S54" s="250"/>
      <c r="T54" s="250"/>
      <c r="U54" s="250"/>
      <c r="V54" s="250"/>
      <c r="W54" s="103"/>
    </row>
    <row r="55" spans="1:23" ht="13.5" thickBot="1">
      <c r="A55" s="197"/>
      <c r="B55" s="233"/>
      <c r="C55" s="161" t="s">
        <v>139</v>
      </c>
      <c r="D55" s="148"/>
      <c r="E55" s="148"/>
      <c r="F55" s="156"/>
      <c r="G55" s="113"/>
      <c r="H55" s="160"/>
      <c r="I55" s="179"/>
      <c r="J55" s="177"/>
      <c r="K55" s="238"/>
      <c r="L55" s="84"/>
      <c r="M55" s="197"/>
      <c r="N55" s="113"/>
      <c r="O55" s="113"/>
      <c r="P55" s="113"/>
      <c r="Q55" s="731" t="s">
        <v>422</v>
      </c>
      <c r="R55" s="251" t="s">
        <v>431</v>
      </c>
      <c r="S55" s="252"/>
      <c r="T55" s="252"/>
      <c r="U55" s="252"/>
      <c r="V55" s="253">
        <f>C10*V49</f>
        <v>3541.25</v>
      </c>
      <c r="W55" s="254">
        <f>V55/V59</f>
        <v>0.609</v>
      </c>
    </row>
    <row r="56" spans="1:23" ht="13.5" thickBot="1">
      <c r="A56" s="197"/>
      <c r="B56" s="233"/>
      <c r="C56" s="161" t="s">
        <v>139</v>
      </c>
      <c r="D56" s="148"/>
      <c r="E56" s="153" t="s">
        <v>158</v>
      </c>
      <c r="F56" s="226" t="s">
        <v>162</v>
      </c>
      <c r="G56" s="113"/>
      <c r="H56" s="160"/>
      <c r="I56" s="179"/>
      <c r="J56" s="177">
        <f>SUM(J53:J54)</f>
        <v>2096.17</v>
      </c>
      <c r="K56" s="238"/>
      <c r="L56" s="84"/>
      <c r="M56" s="197"/>
      <c r="N56" s="113"/>
      <c r="O56" s="113"/>
      <c r="P56" s="113"/>
      <c r="Q56" s="732" t="s">
        <v>159</v>
      </c>
      <c r="R56" s="154" t="s">
        <v>164</v>
      </c>
      <c r="S56" s="113"/>
      <c r="T56" s="113"/>
      <c r="U56" s="154"/>
      <c r="V56" s="127">
        <f>J59</f>
        <v>2273.75</v>
      </c>
      <c r="W56" s="254">
        <f>V56/V59</f>
        <v>0.391</v>
      </c>
    </row>
    <row r="57" spans="1:23" ht="12.75">
      <c r="A57" s="197"/>
      <c r="B57" s="233"/>
      <c r="C57" s="255">
        <f>(15%*C54)+(9%*C54)+3.65+2</f>
        <v>7.81</v>
      </c>
      <c r="D57" s="12" t="s">
        <v>51</v>
      </c>
      <c r="E57" s="153" t="s">
        <v>165</v>
      </c>
      <c r="F57" s="226" t="s">
        <v>151</v>
      </c>
      <c r="G57" s="227"/>
      <c r="H57" s="160">
        <f>(C57/100)</f>
        <v>0.0781</v>
      </c>
      <c r="I57" s="179"/>
      <c r="J57" s="177">
        <f>(+J59*H57)</f>
        <v>177.58</v>
      </c>
      <c r="K57" s="173">
        <f>J57/V59</f>
        <v>0.0305</v>
      </c>
      <c r="L57" s="84"/>
      <c r="M57" s="197"/>
      <c r="N57" s="113"/>
      <c r="O57" s="113"/>
      <c r="P57" s="113"/>
      <c r="Q57" s="256"/>
      <c r="R57" s="257"/>
      <c r="S57" s="130"/>
      <c r="T57" s="130"/>
      <c r="U57" s="257"/>
      <c r="V57" s="258"/>
      <c r="W57" s="103"/>
    </row>
    <row r="58" spans="1:23" ht="13.5" thickBot="1">
      <c r="A58" s="197"/>
      <c r="B58" s="233"/>
      <c r="C58" s="161" t="s">
        <v>139</v>
      </c>
      <c r="D58" s="148"/>
      <c r="E58" s="148"/>
      <c r="F58" s="156"/>
      <c r="G58" s="113"/>
      <c r="H58" s="179"/>
      <c r="I58" s="179"/>
      <c r="J58" s="177"/>
      <c r="K58" s="238"/>
      <c r="L58" s="84"/>
      <c r="M58" s="197"/>
      <c r="N58" s="113"/>
      <c r="O58" s="113"/>
      <c r="P58" s="113"/>
      <c r="Q58" s="197"/>
      <c r="R58" s="113"/>
      <c r="S58" s="113"/>
      <c r="T58" s="113"/>
      <c r="U58" s="113"/>
      <c r="V58" s="155"/>
      <c r="W58" s="259"/>
    </row>
    <row r="59" spans="1:23" ht="16.5" thickBot="1">
      <c r="A59" s="260"/>
      <c r="B59" s="261"/>
      <c r="C59" s="262" t="s">
        <v>139</v>
      </c>
      <c r="D59" s="263"/>
      <c r="E59" s="264" t="s">
        <v>161</v>
      </c>
      <c r="F59" s="265" t="s">
        <v>426</v>
      </c>
      <c r="G59" s="266"/>
      <c r="H59" s="266"/>
      <c r="I59" s="266"/>
      <c r="J59" s="267">
        <f>J56/(1-H57)</f>
        <v>2273.75</v>
      </c>
      <c r="K59" s="268">
        <f>J59/V59</f>
        <v>0.391</v>
      </c>
      <c r="L59" s="84"/>
      <c r="M59" s="260"/>
      <c r="N59" s="269"/>
      <c r="O59" s="269"/>
      <c r="P59" s="269"/>
      <c r="Q59" s="270" t="s">
        <v>163</v>
      </c>
      <c r="R59" s="271" t="s">
        <v>423</v>
      </c>
      <c r="S59" s="272"/>
      <c r="T59" s="272"/>
      <c r="U59" s="271"/>
      <c r="V59" s="273">
        <f>V55+J59</f>
        <v>5815</v>
      </c>
      <c r="W59" s="274">
        <f>SUM(W55:W58)</f>
        <v>1</v>
      </c>
    </row>
    <row r="61" ht="15.75">
      <c r="A61" s="69" t="s">
        <v>169</v>
      </c>
    </row>
    <row r="63" spans="1:19" ht="15.75">
      <c r="A63" s="69" t="str">
        <f>'Trator de Esteira'!A61</f>
        <v>Patos de Minas-MG, 16 de Novembro de 2015.</v>
      </c>
      <c r="G63" s="13"/>
      <c r="M63" s="11"/>
      <c r="S63" s="13"/>
    </row>
    <row r="64" spans="7:19" ht="15">
      <c r="G64" s="11"/>
      <c r="H64" s="11"/>
      <c r="I64" s="11"/>
      <c r="S64" s="11"/>
    </row>
    <row r="65" spans="7:19" ht="15">
      <c r="G65" s="11"/>
      <c r="H65" s="11"/>
      <c r="I65" s="11"/>
      <c r="S65" s="11"/>
    </row>
    <row r="67" spans="1:10" ht="12">
      <c r="A67" s="275"/>
      <c r="B67" s="275"/>
      <c r="C67" s="275"/>
      <c r="D67" s="275"/>
      <c r="E67" s="275"/>
      <c r="F67" s="275"/>
      <c r="G67" s="275"/>
      <c r="H67" s="275"/>
      <c r="I67" s="275"/>
      <c r="J67" s="275"/>
    </row>
    <row r="91" ht="2.25" customHeight="1"/>
    <row r="92" ht="12.75" customHeight="1"/>
    <row r="93" ht="0.75" customHeight="1"/>
    <row r="118" spans="12:15" ht="12.75">
      <c r="L118" s="276"/>
      <c r="M118" s="277"/>
      <c r="N118" s="276"/>
      <c r="O118" s="277"/>
    </row>
    <row r="119" spans="12:15" ht="12.75">
      <c r="L119" s="276"/>
      <c r="M119" s="276"/>
      <c r="N119" s="276"/>
      <c r="O119" s="278"/>
    </row>
    <row r="120" spans="12:15" ht="12.75">
      <c r="L120" s="276"/>
      <c r="M120" s="276"/>
      <c r="N120" s="276"/>
      <c r="O120" s="278"/>
    </row>
    <row r="121" spans="12:15" ht="12.75">
      <c r="L121" s="276"/>
      <c r="M121" s="276"/>
      <c r="N121" s="276"/>
      <c r="O121" s="278"/>
    </row>
    <row r="122" spans="12:15" ht="12.75">
      <c r="L122" s="2"/>
      <c r="M122" s="2"/>
      <c r="N122" s="2"/>
      <c r="O122" s="279"/>
    </row>
    <row r="123" spans="1:11" ht="12.75">
      <c r="A123" s="276"/>
      <c r="B123" s="276"/>
      <c r="C123" s="276"/>
      <c r="D123" s="276"/>
      <c r="E123" s="280"/>
      <c r="F123" s="280"/>
      <c r="G123" s="280"/>
      <c r="H123" s="280"/>
      <c r="I123" s="280"/>
      <c r="J123" s="280"/>
      <c r="K123" s="280"/>
    </row>
    <row r="124" spans="1:12" ht="12.75">
      <c r="A124" s="276"/>
      <c r="B124" s="276"/>
      <c r="C124" s="276"/>
      <c r="D124" s="276"/>
      <c r="E124" s="276"/>
      <c r="F124" s="276"/>
      <c r="G124" s="276"/>
      <c r="H124" s="276"/>
      <c r="I124" s="276"/>
      <c r="J124" s="281"/>
      <c r="K124" s="281"/>
      <c r="L124" s="178"/>
    </row>
    <row r="125" spans="1:11" ht="12.75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</row>
    <row r="126" spans="1:11" ht="12.75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</row>
    <row r="127" spans="1:11" ht="12.7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</row>
    <row r="128" spans="1:11" ht="12.7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</row>
    <row r="129" spans="1:12" ht="12.75">
      <c r="A129" s="2"/>
      <c r="B129" s="2"/>
      <c r="C129" s="2"/>
      <c r="D129" s="2"/>
      <c r="E129" s="282"/>
      <c r="F129" s="2"/>
      <c r="G129" s="2"/>
      <c r="H129" s="2"/>
      <c r="I129" s="2"/>
      <c r="J129" s="2"/>
      <c r="K129" s="2"/>
      <c r="L129" s="4"/>
    </row>
    <row r="130" spans="1:12" ht="12.75">
      <c r="A130" s="2"/>
      <c r="B130" s="2"/>
      <c r="C130" s="2"/>
      <c r="D130" s="2"/>
      <c r="E130" s="283"/>
      <c r="F130" s="283"/>
      <c r="G130" s="283"/>
      <c r="H130" s="283"/>
      <c r="I130" s="2"/>
      <c r="J130" s="2"/>
      <c r="K130" s="2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83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4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5"/>
      <c r="C135" s="2"/>
      <c r="D135" s="279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5"/>
      <c r="C138" s="2"/>
      <c r="D138" s="279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">
      <c r="A141" s="4"/>
      <c r="B141" s="6"/>
      <c r="C141" s="4"/>
      <c r="D141" s="284"/>
      <c r="E141" s="4"/>
      <c r="F141" s="4"/>
      <c r="G141" s="4"/>
      <c r="H141" s="4"/>
      <c r="I141" s="4"/>
      <c r="J141" s="4"/>
      <c r="K141" s="4"/>
      <c r="L141" s="4"/>
    </row>
    <row r="142" spans="1:12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4"/>
    </row>
    <row r="145" spans="1:12" ht="12">
      <c r="A145" s="4"/>
      <c r="B145" s="4"/>
      <c r="C145" s="6"/>
      <c r="D145" s="4"/>
      <c r="E145" s="4"/>
      <c r="F145" s="4"/>
      <c r="G145" s="285"/>
      <c r="H145" s="285"/>
      <c r="L145" s="4"/>
    </row>
    <row r="146" spans="1:12" ht="12">
      <c r="A146" s="7"/>
      <c r="B146" s="7"/>
      <c r="C146" s="7"/>
      <c r="D146" s="7"/>
      <c r="E146" s="7"/>
      <c r="F146" s="7"/>
      <c r="G146" s="7"/>
      <c r="H146" s="7"/>
      <c r="L146" s="4"/>
    </row>
    <row r="147" spans="1:12" ht="12">
      <c r="A147" s="4"/>
      <c r="B147" s="4"/>
      <c r="C147" s="4"/>
      <c r="D147" s="4"/>
      <c r="E147" s="4"/>
      <c r="F147" s="4"/>
      <c r="G147" s="4"/>
      <c r="H147" s="4"/>
      <c r="L147" s="4"/>
    </row>
    <row r="148" spans="1:12" ht="12">
      <c r="A148" s="4"/>
      <c r="B148" s="4"/>
      <c r="C148" s="4"/>
      <c r="D148" s="4"/>
      <c r="E148" s="4"/>
      <c r="F148" s="4"/>
      <c r="G148" s="4"/>
      <c r="H148" s="4"/>
      <c r="L148" s="4"/>
    </row>
    <row r="149" spans="2:12" ht="12">
      <c r="B149" s="286"/>
      <c r="C149" s="287"/>
      <c r="G149" s="288"/>
      <c r="H149" s="287"/>
      <c r="L149" s="4"/>
    </row>
    <row r="150" spans="7:12" ht="12">
      <c r="G150" s="289"/>
      <c r="L150" s="4"/>
    </row>
    <row r="151" spans="7:12" ht="12">
      <c r="G151" s="289"/>
      <c r="L151" s="4"/>
    </row>
    <row r="152" spans="2:12" ht="12">
      <c r="B152" s="286"/>
      <c r="C152" s="287"/>
      <c r="G152" s="288"/>
      <c r="H152" s="287"/>
      <c r="L152" s="4"/>
    </row>
    <row r="153" spans="7:12" ht="12">
      <c r="G153" s="29"/>
      <c r="L153" s="4"/>
    </row>
    <row r="154" spans="7:12" ht="12">
      <c r="G154" s="29"/>
      <c r="L154" s="4"/>
    </row>
    <row r="155" spans="2:12" ht="12">
      <c r="B155" s="3"/>
      <c r="C155" s="290"/>
      <c r="G155" s="288"/>
      <c r="H155" s="287"/>
      <c r="L155" s="4"/>
    </row>
    <row r="156" spans="7:12" ht="12">
      <c r="G156" s="29"/>
      <c r="L156" s="4"/>
    </row>
    <row r="157" spans="7:12" ht="12">
      <c r="G157" s="29"/>
      <c r="L157" s="4"/>
    </row>
    <row r="158" spans="2:12" ht="12">
      <c r="B158" s="3"/>
      <c r="C158" s="291"/>
      <c r="G158" s="288"/>
      <c r="H158" s="292"/>
      <c r="L158" s="4"/>
    </row>
    <row r="159" spans="10:12" ht="12">
      <c r="J159" s="4"/>
      <c r="K159" s="4"/>
      <c r="L159" s="4"/>
    </row>
    <row r="160" spans="1:12" ht="12">
      <c r="A160" s="293"/>
      <c r="B160" s="293"/>
      <c r="C160" s="293"/>
      <c r="D160" s="293"/>
      <c r="E160" s="293"/>
      <c r="F160" s="293"/>
      <c r="G160" s="293"/>
      <c r="H160" s="293"/>
      <c r="I160" s="293"/>
      <c r="J160" s="7"/>
      <c r="K160" s="7"/>
      <c r="L160" s="4"/>
    </row>
    <row r="161" spans="10:12" ht="12">
      <c r="J161" s="4"/>
      <c r="K161" s="4"/>
      <c r="L161" s="4"/>
    </row>
    <row r="162" spans="2:12" ht="12">
      <c r="B162" s="286"/>
      <c r="D162" s="292"/>
      <c r="J162" s="4"/>
      <c r="K162" s="4"/>
      <c r="L162" s="4"/>
    </row>
    <row r="163" spans="10:12" ht="12">
      <c r="J163" s="4"/>
      <c r="K163" s="4"/>
      <c r="L163" s="4"/>
    </row>
    <row r="164" spans="1:12" ht="12">
      <c r="A164" s="293"/>
      <c r="B164" s="293"/>
      <c r="C164" s="293"/>
      <c r="D164" s="293"/>
      <c r="E164" s="293"/>
      <c r="F164" s="293"/>
      <c r="G164" s="293"/>
      <c r="H164" s="293"/>
      <c r="I164" s="293"/>
      <c r="J164" s="7"/>
      <c r="K164" s="7"/>
      <c r="L164" s="4"/>
    </row>
    <row r="165" spans="1:12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</sheetData>
  <sheetProtection password="F184" sheet="1"/>
  <mergeCells count="6">
    <mergeCell ref="R36:S36"/>
    <mergeCell ref="F44:G44"/>
    <mergeCell ref="A1:K1"/>
    <mergeCell ref="M1:W1"/>
    <mergeCell ref="A5:J5"/>
    <mergeCell ref="R11:S11"/>
  </mergeCells>
  <printOptions horizontalCentered="1"/>
  <pageMargins left="0" right="0" top="0.7874015748031497" bottom="0.1968503937007874" header="0.31496062992125984" footer="0.31496062992125984"/>
  <pageSetup horizontalDpi="600" verticalDpi="600" orientation="landscape" paperSize="9" scale="50" r:id="rId1"/>
  <headerFooter alignWithMargins="0">
    <oddHeader>&amp;CPágina &amp;P de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66"/>
  <sheetViews>
    <sheetView zoomScalePageLayoutView="0" workbookViewId="0" topLeftCell="J40">
      <selection activeCell="N44" sqref="N44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4.6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1" width="11.00390625" style="1" customWidth="1"/>
    <col min="22" max="22" width="11.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817" t="s">
        <v>173</v>
      </c>
      <c r="B1" s="818"/>
      <c r="C1" s="818"/>
      <c r="D1" s="818"/>
      <c r="E1" s="818"/>
      <c r="F1" s="818"/>
      <c r="G1" s="818"/>
      <c r="H1" s="818"/>
      <c r="I1" s="818"/>
      <c r="J1" s="818"/>
      <c r="K1" s="819"/>
      <c r="L1" s="84"/>
      <c r="M1" s="820" t="str">
        <f>A1</f>
        <v>CUSTO   DE   CAMINHÃO   BASCULANTE   VARRIÇÃO</v>
      </c>
      <c r="N1" s="821"/>
      <c r="O1" s="821"/>
      <c r="P1" s="821"/>
      <c r="Q1" s="821"/>
      <c r="R1" s="821"/>
      <c r="S1" s="821"/>
      <c r="T1" s="821"/>
      <c r="U1" s="821"/>
      <c r="V1" s="821"/>
      <c r="W1" s="822"/>
    </row>
    <row r="2" spans="1:23" ht="20.25">
      <c r="A2" s="85" t="s">
        <v>49</v>
      </c>
      <c r="B2" s="86"/>
      <c r="C2" s="87"/>
      <c r="D2" s="86"/>
      <c r="E2" s="86"/>
      <c r="F2" s="86"/>
      <c r="G2" s="88"/>
      <c r="H2" s="86"/>
      <c r="I2" s="86"/>
      <c r="J2" s="86"/>
      <c r="K2" s="89"/>
      <c r="L2" s="84"/>
      <c r="M2" s="90" t="str">
        <f>A2</f>
        <v>DEMONSTRATIVO MENSAL DE CUSTO OPERACIONAL UNITÁRIO DE VEÍCULO </v>
      </c>
      <c r="N2" s="91"/>
      <c r="O2" s="91"/>
      <c r="P2" s="91"/>
      <c r="Q2" s="91"/>
      <c r="R2" s="91"/>
      <c r="S2" s="92"/>
      <c r="T2" s="91"/>
      <c r="U2" s="91"/>
      <c r="V2" s="91"/>
      <c r="W2" s="93"/>
    </row>
    <row r="3" spans="1:23" ht="21" thickBot="1">
      <c r="A3" s="94" t="s">
        <v>171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  <c r="L3" s="84"/>
      <c r="M3" s="98" t="s">
        <v>52</v>
      </c>
      <c r="N3" s="99"/>
      <c r="O3" s="99"/>
      <c r="P3" s="99"/>
      <c r="Q3" s="99"/>
      <c r="R3" s="99"/>
      <c r="S3" s="99"/>
      <c r="T3" s="99"/>
      <c r="U3" s="99"/>
      <c r="V3" s="99"/>
      <c r="W3" s="100" t="s">
        <v>51</v>
      </c>
    </row>
    <row r="4" spans="1:23" ht="12.7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84"/>
      <c r="M4" s="104" t="str">
        <f>A6</f>
        <v>Descrição do Veiculo: CAMINHÃO   BASCULANTE   -   Tipo   MBB 1618  ou   SIMILAR</v>
      </c>
      <c r="N4" s="105"/>
      <c r="O4" s="105"/>
      <c r="P4" s="105"/>
      <c r="Q4" s="105"/>
      <c r="R4" s="105"/>
      <c r="S4" s="105"/>
      <c r="T4" s="105"/>
      <c r="U4" s="105"/>
      <c r="V4" s="106"/>
      <c r="W4" s="107"/>
    </row>
    <row r="5" spans="1:23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  <c r="L5" s="84"/>
      <c r="M5" s="109" t="str">
        <f>A7</f>
        <v>Ano de Fabricação: 2005</v>
      </c>
      <c r="N5" s="110"/>
      <c r="O5" s="110" t="str">
        <f>A9</f>
        <v>Contratante:</v>
      </c>
      <c r="P5" s="111" t="str">
        <f>B9</f>
        <v>PREFEITURA   MUNICIPAL   DE   PATOS   DE   MINAS - MG</v>
      </c>
      <c r="Q5" s="112"/>
      <c r="R5" s="110"/>
      <c r="S5" s="110"/>
      <c r="T5" s="110"/>
      <c r="U5" s="110"/>
      <c r="V5" s="113"/>
      <c r="W5" s="103"/>
    </row>
    <row r="6" spans="1:23" ht="12.75">
      <c r="A6" s="104" t="s">
        <v>54</v>
      </c>
      <c r="B6" s="105"/>
      <c r="C6" s="105"/>
      <c r="D6" s="105"/>
      <c r="E6" s="114"/>
      <c r="F6" s="105"/>
      <c r="G6" s="105"/>
      <c r="H6" s="105"/>
      <c r="I6" s="105"/>
      <c r="J6" s="106"/>
      <c r="K6" s="115"/>
      <c r="L6" s="84"/>
      <c r="M6" s="109" t="str">
        <f>A8</f>
        <v>Tipo de Combustível: Diesel</v>
      </c>
      <c r="N6" s="110"/>
      <c r="O6" s="110"/>
      <c r="P6" s="110"/>
      <c r="Q6" s="116"/>
      <c r="R6" s="110"/>
      <c r="S6" s="110"/>
      <c r="T6" s="110"/>
      <c r="U6" s="110"/>
      <c r="V6" s="113"/>
      <c r="W6" s="103"/>
    </row>
    <row r="7" spans="1:23" ht="12.75">
      <c r="A7" s="109" t="s">
        <v>55</v>
      </c>
      <c r="B7" s="110"/>
      <c r="C7" s="110"/>
      <c r="D7" s="110"/>
      <c r="E7" s="110"/>
      <c r="F7" s="110"/>
      <c r="G7" s="110"/>
      <c r="H7" s="110"/>
      <c r="I7" s="110"/>
      <c r="J7" s="113"/>
      <c r="K7" s="117"/>
      <c r="L7" s="84"/>
      <c r="M7" s="118" t="str">
        <f>A10</f>
        <v>Km Estimada: </v>
      </c>
      <c r="N7" s="113"/>
      <c r="O7" s="119">
        <f>C10</f>
        <v>2000</v>
      </c>
      <c r="P7" s="113" t="str">
        <f>D10</f>
        <v>Km</v>
      </c>
      <c r="Q7" s="113"/>
      <c r="R7" s="113"/>
      <c r="S7" s="113"/>
      <c r="T7" s="113"/>
      <c r="U7" s="113"/>
      <c r="V7" s="113"/>
      <c r="W7" s="103"/>
    </row>
    <row r="8" spans="1:23" ht="12.75">
      <c r="A8" s="109" t="s">
        <v>56</v>
      </c>
      <c r="B8" s="110"/>
      <c r="C8" s="110"/>
      <c r="D8" s="110"/>
      <c r="E8" s="110"/>
      <c r="F8" s="110"/>
      <c r="G8" s="110"/>
      <c r="H8" s="110" t="s">
        <v>57</v>
      </c>
      <c r="I8" s="120">
        <v>0</v>
      </c>
      <c r="J8" s="113"/>
      <c r="K8" s="117"/>
      <c r="L8" s="84"/>
      <c r="M8" s="121" t="str">
        <f>A11</f>
        <v>Horário:</v>
      </c>
      <c r="N8" s="122">
        <v>0.333333333333333</v>
      </c>
      <c r="O8" s="123" t="s">
        <v>58</v>
      </c>
      <c r="P8" s="122">
        <f>D11</f>
        <v>0.75</v>
      </c>
      <c r="Q8" s="124" t="s">
        <v>59</v>
      </c>
      <c r="R8" s="125"/>
      <c r="S8" s="126"/>
      <c r="T8" s="126"/>
      <c r="U8" s="126"/>
      <c r="V8" s="126"/>
      <c r="W8" s="103"/>
    </row>
    <row r="9" spans="1:23" ht="15.75">
      <c r="A9" s="109" t="s">
        <v>60</v>
      </c>
      <c r="B9" s="111" t="s">
        <v>61</v>
      </c>
      <c r="C9" s="110"/>
      <c r="D9" s="110"/>
      <c r="E9" s="110"/>
      <c r="F9" s="110"/>
      <c r="G9" s="110"/>
      <c r="H9" s="110"/>
      <c r="I9" s="120"/>
      <c r="J9" s="113"/>
      <c r="K9" s="117"/>
      <c r="L9" s="84"/>
      <c r="M9" s="118"/>
      <c r="N9" s="127"/>
      <c r="O9" s="128"/>
      <c r="P9" s="127"/>
      <c r="Q9" s="129"/>
      <c r="R9" s="127"/>
      <c r="S9" s="113"/>
      <c r="T9" s="113"/>
      <c r="U9" s="113"/>
      <c r="V9" s="113"/>
      <c r="W9" s="103"/>
    </row>
    <row r="10" spans="1:28" ht="12.75">
      <c r="A10" s="109" t="s">
        <v>62</v>
      </c>
      <c r="B10" s="130"/>
      <c r="C10" s="131">
        <v>2000</v>
      </c>
      <c r="D10" s="110" t="s">
        <v>63</v>
      </c>
      <c r="E10" s="130"/>
      <c r="F10" s="130"/>
      <c r="G10" s="113"/>
      <c r="H10" s="113"/>
      <c r="I10" s="113"/>
      <c r="J10" s="113"/>
      <c r="K10" s="117"/>
      <c r="L10" s="84"/>
      <c r="M10" s="132"/>
      <c r="N10" s="133"/>
      <c r="O10" s="133"/>
      <c r="P10" s="133"/>
      <c r="Q10" s="133"/>
      <c r="R10" s="106"/>
      <c r="S10" s="134"/>
      <c r="T10" s="133"/>
      <c r="U10" s="135" t="s">
        <v>64</v>
      </c>
      <c r="V10" s="136"/>
      <c r="W10" s="103"/>
      <c r="AB10" s="1">
        <f>180.55*20</f>
        <v>3611</v>
      </c>
    </row>
    <row r="11" spans="1:28" ht="12.75">
      <c r="A11" s="121" t="s">
        <v>65</v>
      </c>
      <c r="B11" s="137">
        <v>0.333333333333333</v>
      </c>
      <c r="C11" s="123" t="s">
        <v>58</v>
      </c>
      <c r="D11" s="137">
        <v>0.75</v>
      </c>
      <c r="E11" s="124" t="s">
        <v>59</v>
      </c>
      <c r="F11" s="125"/>
      <c r="G11" s="126"/>
      <c r="H11" s="126"/>
      <c r="I11" s="126"/>
      <c r="J11" s="126"/>
      <c r="K11" s="117"/>
      <c r="L11" s="84"/>
      <c r="M11" s="16" t="s">
        <v>66</v>
      </c>
      <c r="N11" s="12" t="s">
        <v>67</v>
      </c>
      <c r="O11" s="12" t="s">
        <v>68</v>
      </c>
      <c r="P11" s="12" t="s">
        <v>67</v>
      </c>
      <c r="Q11" s="12" t="s">
        <v>69</v>
      </c>
      <c r="R11" s="815" t="s">
        <v>70</v>
      </c>
      <c r="S11" s="816"/>
      <c r="T11" s="12" t="s">
        <v>71</v>
      </c>
      <c r="U11" s="12" t="s">
        <v>72</v>
      </c>
      <c r="V11" s="138" t="s">
        <v>73</v>
      </c>
      <c r="W11" s="103"/>
      <c r="AB11" s="1">
        <f>1120.82*4</f>
        <v>4483.28</v>
      </c>
    </row>
    <row r="12" spans="1:23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  <c r="L12" s="84"/>
      <c r="M12" s="141"/>
      <c r="N12" s="142"/>
      <c r="O12" s="142"/>
      <c r="P12" s="142"/>
      <c r="Q12" s="142"/>
      <c r="R12" s="126"/>
      <c r="S12" s="143"/>
      <c r="T12" s="142"/>
      <c r="U12" s="144" t="s">
        <v>74</v>
      </c>
      <c r="V12" s="145"/>
      <c r="W12" s="146"/>
    </row>
    <row r="13" spans="1:28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  <c r="L13" s="84"/>
      <c r="M13" s="132"/>
      <c r="N13" s="133"/>
      <c r="O13" s="133"/>
      <c r="P13" s="148"/>
      <c r="Q13" s="148"/>
      <c r="R13" s="113"/>
      <c r="S13" s="113"/>
      <c r="T13" s="133"/>
      <c r="U13" s="148"/>
      <c r="V13" s="136"/>
      <c r="W13" s="103"/>
      <c r="AB13" s="1">
        <f>SUM(AB10:AB12)</f>
        <v>8094.28</v>
      </c>
    </row>
    <row r="14" spans="1:23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  <c r="L14" s="84"/>
      <c r="M14" s="152"/>
      <c r="N14" s="148"/>
      <c r="O14" s="148"/>
      <c r="P14" s="148"/>
      <c r="Q14" s="153" t="s">
        <v>77</v>
      </c>
      <c r="R14" s="154" t="s">
        <v>78</v>
      </c>
      <c r="S14" s="155"/>
      <c r="T14" s="148"/>
      <c r="U14" s="148"/>
      <c r="V14" s="138" t="s">
        <v>73</v>
      </c>
      <c r="W14" s="103"/>
    </row>
    <row r="15" spans="1:23" ht="12.75">
      <c r="A15" s="152"/>
      <c r="B15" s="148"/>
      <c r="C15" s="148"/>
      <c r="D15" s="148"/>
      <c r="E15" s="148"/>
      <c r="F15" s="148"/>
      <c r="G15" s="148"/>
      <c r="H15" s="148"/>
      <c r="I15" s="148"/>
      <c r="J15" s="156"/>
      <c r="K15" s="117"/>
      <c r="L15" s="84"/>
      <c r="M15" s="152"/>
      <c r="N15" s="148"/>
      <c r="O15" s="148"/>
      <c r="P15" s="148"/>
      <c r="Q15" s="148"/>
      <c r="R15" s="113"/>
      <c r="S15" s="155"/>
      <c r="T15" s="148"/>
      <c r="U15" s="157"/>
      <c r="V15" s="156"/>
      <c r="W15" s="103"/>
    </row>
    <row r="16" spans="1:23" ht="12.75">
      <c r="A16" s="152"/>
      <c r="B16" s="148"/>
      <c r="C16" s="148"/>
      <c r="D16" s="148"/>
      <c r="E16" s="148"/>
      <c r="F16" s="153" t="s">
        <v>79</v>
      </c>
      <c r="G16" s="12" t="s">
        <v>80</v>
      </c>
      <c r="H16" s="148"/>
      <c r="I16" s="148"/>
      <c r="J16" s="156"/>
      <c r="K16" s="117"/>
      <c r="L16" s="84"/>
      <c r="M16" s="158">
        <v>2.5</v>
      </c>
      <c r="N16" s="12" t="s">
        <v>81</v>
      </c>
      <c r="O16" s="159">
        <v>1000000</v>
      </c>
      <c r="P16" s="12" t="s">
        <v>63</v>
      </c>
      <c r="Q16" s="153" t="s">
        <v>82</v>
      </c>
      <c r="R16" s="154" t="s">
        <v>83</v>
      </c>
      <c r="S16" s="155"/>
      <c r="T16" s="160">
        <f>(M16/O16)</f>
        <v>2.5E-06</v>
      </c>
      <c r="U16" s="161">
        <f>I18</f>
        <v>51272.4</v>
      </c>
      <c r="V16" s="162">
        <f aca="true" t="shared" si="0" ref="V16:V22">(+U16*T16)</f>
        <v>0.1282</v>
      </c>
      <c r="W16" s="163">
        <f>V16*C10/V59</f>
        <v>0.0504</v>
      </c>
    </row>
    <row r="17" spans="1:23" ht="12.75">
      <c r="A17" s="152"/>
      <c r="B17" s="148"/>
      <c r="C17" s="148"/>
      <c r="D17" s="148"/>
      <c r="E17" s="148"/>
      <c r="F17" s="148"/>
      <c r="G17" s="148"/>
      <c r="H17" s="148"/>
      <c r="I17" s="148"/>
      <c r="J17" s="156"/>
      <c r="K17" s="117"/>
      <c r="L17" s="84"/>
      <c r="M17" s="164">
        <v>15</v>
      </c>
      <c r="N17" s="12" t="s">
        <v>51</v>
      </c>
      <c r="O17" s="159" t="s">
        <v>84</v>
      </c>
      <c r="P17" s="165" t="s">
        <v>84</v>
      </c>
      <c r="Q17" s="153" t="s">
        <v>85</v>
      </c>
      <c r="R17" s="154" t="s">
        <v>86</v>
      </c>
      <c r="S17" s="155"/>
      <c r="T17" s="160">
        <f>(+M17/100)</f>
        <v>0.15</v>
      </c>
      <c r="U17" s="166">
        <f>V16</f>
        <v>0.1282</v>
      </c>
      <c r="V17" s="162">
        <f t="shared" si="0"/>
        <v>0.0192</v>
      </c>
      <c r="W17" s="163">
        <f>V17*C10/V59</f>
        <v>0.0075</v>
      </c>
    </row>
    <row r="18" spans="1:26" ht="12.75">
      <c r="A18" s="167">
        <v>100</v>
      </c>
      <c r="B18" s="168" t="s">
        <v>51</v>
      </c>
      <c r="C18" s="255">
        <f>12*8</f>
        <v>96</v>
      </c>
      <c r="D18" s="12" t="s">
        <v>87</v>
      </c>
      <c r="E18" s="170" t="s">
        <v>88</v>
      </c>
      <c r="F18" s="170" t="s">
        <v>89</v>
      </c>
      <c r="G18" s="170" t="s">
        <v>90</v>
      </c>
      <c r="H18" s="171">
        <f>(+A18/C18)/100</f>
        <v>0.0104167</v>
      </c>
      <c r="I18" s="169">
        <f>I20-(M18*U18)</f>
        <v>51272.4</v>
      </c>
      <c r="J18" s="172">
        <f>(H18*I18)</f>
        <v>534.09</v>
      </c>
      <c r="K18" s="173">
        <f>J18/V59</f>
        <v>0.1049</v>
      </c>
      <c r="L18" s="84"/>
      <c r="M18" s="174">
        <v>6</v>
      </c>
      <c r="N18" s="12" t="s">
        <v>91</v>
      </c>
      <c r="O18" s="175">
        <v>100000</v>
      </c>
      <c r="P18" s="12" t="s">
        <v>63</v>
      </c>
      <c r="Q18" s="153" t="s">
        <v>92</v>
      </c>
      <c r="R18" s="116" t="s">
        <v>93</v>
      </c>
      <c r="S18" s="112"/>
      <c r="T18" s="160">
        <f>(+M18/O18)</f>
        <v>6E-05</v>
      </c>
      <c r="U18" s="255">
        <v>1454.6</v>
      </c>
      <c r="V18" s="162">
        <f t="shared" si="0"/>
        <v>0.0873</v>
      </c>
      <c r="W18" s="163">
        <f>V18*C10/V59</f>
        <v>0.0343</v>
      </c>
      <c r="Z18" s="1">
        <f>180.55*25</f>
        <v>4513.75</v>
      </c>
    </row>
    <row r="19" spans="1:26" ht="12.75">
      <c r="A19" s="176">
        <f>A18</f>
        <v>100</v>
      </c>
      <c r="B19" s="12" t="s">
        <v>51</v>
      </c>
      <c r="C19" s="161">
        <f>C18</f>
        <v>96</v>
      </c>
      <c r="D19" s="12" t="s">
        <v>87</v>
      </c>
      <c r="E19" s="153" t="s">
        <v>88</v>
      </c>
      <c r="F19" s="153" t="s">
        <v>94</v>
      </c>
      <c r="G19" s="153" t="s">
        <v>95</v>
      </c>
      <c r="H19" s="160">
        <f>(+A19/C19)/100</f>
        <v>0.0104167</v>
      </c>
      <c r="I19" s="161">
        <f>I18*I8</f>
        <v>0</v>
      </c>
      <c r="J19" s="172">
        <f>(H19*I19)</f>
        <v>0</v>
      </c>
      <c r="K19" s="173" t="s">
        <v>96</v>
      </c>
      <c r="L19" s="84"/>
      <c r="M19" s="174">
        <v>1</v>
      </c>
      <c r="N19" s="12" t="s">
        <v>97</v>
      </c>
      <c r="O19" s="237">
        <v>3.5</v>
      </c>
      <c r="P19" s="12" t="s">
        <v>63</v>
      </c>
      <c r="Q19" s="153" t="s">
        <v>98</v>
      </c>
      <c r="R19" s="116" t="s">
        <v>99</v>
      </c>
      <c r="S19" s="112"/>
      <c r="T19" s="160">
        <f>(+M19/O19)</f>
        <v>0.2857143</v>
      </c>
      <c r="U19" s="255">
        <v>2.95</v>
      </c>
      <c r="V19" s="162">
        <f t="shared" si="0"/>
        <v>0.8429</v>
      </c>
      <c r="W19" s="163">
        <f>V19*C10/V59</f>
        <v>0.3311</v>
      </c>
      <c r="Z19" s="1">
        <f>1120.82</f>
        <v>1120.82</v>
      </c>
    </row>
    <row r="20" spans="1:26" ht="12.75">
      <c r="A20" s="766">
        <v>18</v>
      </c>
      <c r="B20" s="168" t="s">
        <v>51</v>
      </c>
      <c r="C20" s="169">
        <v>12</v>
      </c>
      <c r="D20" s="12" t="s">
        <v>87</v>
      </c>
      <c r="E20" s="170" t="s">
        <v>88</v>
      </c>
      <c r="F20" s="170" t="s">
        <v>100</v>
      </c>
      <c r="G20" s="170" t="s">
        <v>101</v>
      </c>
      <c r="H20" s="171">
        <f>(+A20/C20)/100</f>
        <v>0.015</v>
      </c>
      <c r="I20" s="255">
        <v>60000</v>
      </c>
      <c r="J20" s="172">
        <f>(H20*I20)</f>
        <v>900</v>
      </c>
      <c r="K20" s="173">
        <f>J20/V59</f>
        <v>0.1767</v>
      </c>
      <c r="L20" s="84"/>
      <c r="M20" s="174">
        <v>10.27</v>
      </c>
      <c r="N20" s="12" t="s">
        <v>97</v>
      </c>
      <c r="O20" s="159">
        <v>7500</v>
      </c>
      <c r="P20" s="12" t="s">
        <v>63</v>
      </c>
      <c r="Q20" s="153" t="s">
        <v>102</v>
      </c>
      <c r="R20" s="154" t="s">
        <v>103</v>
      </c>
      <c r="S20" s="155"/>
      <c r="T20" s="160">
        <f>(+M20/O20)</f>
        <v>0.0013693</v>
      </c>
      <c r="U20" s="255">
        <v>19</v>
      </c>
      <c r="V20" s="162">
        <f t="shared" si="0"/>
        <v>0.026</v>
      </c>
      <c r="W20" s="163">
        <f>V20*C10/V59</f>
        <v>0.0102</v>
      </c>
      <c r="Z20" s="1">
        <f>SUM(Z18:Z19)</f>
        <v>5634.57</v>
      </c>
    </row>
    <row r="21" spans="1:23" ht="12.75">
      <c r="A21" s="176">
        <f>A20</f>
        <v>18</v>
      </c>
      <c r="B21" s="12" t="s">
        <v>51</v>
      </c>
      <c r="C21" s="161">
        <f>C20</f>
        <v>12</v>
      </c>
      <c r="D21" s="12" t="s">
        <v>87</v>
      </c>
      <c r="E21" s="153" t="s">
        <v>88</v>
      </c>
      <c r="F21" s="153" t="s">
        <v>104</v>
      </c>
      <c r="G21" s="153" t="s">
        <v>105</v>
      </c>
      <c r="H21" s="160">
        <f>(+A21/C21)/100</f>
        <v>0.015</v>
      </c>
      <c r="I21" s="161">
        <f>I20*I8</f>
        <v>0</v>
      </c>
      <c r="J21" s="172">
        <f>(H21*I21)</f>
        <v>0</v>
      </c>
      <c r="K21" s="173" t="s">
        <v>96</v>
      </c>
      <c r="L21" s="84"/>
      <c r="M21" s="174">
        <v>9.5</v>
      </c>
      <c r="N21" s="12" t="s">
        <v>97</v>
      </c>
      <c r="O21" s="159">
        <v>30000</v>
      </c>
      <c r="P21" s="12" t="s">
        <v>63</v>
      </c>
      <c r="Q21" s="153" t="s">
        <v>106</v>
      </c>
      <c r="R21" s="154" t="s">
        <v>107</v>
      </c>
      <c r="S21" s="155"/>
      <c r="T21" s="160">
        <f>(+M21/O21)</f>
        <v>0.0003167</v>
      </c>
      <c r="U21" s="255">
        <v>22</v>
      </c>
      <c r="V21" s="162">
        <f t="shared" si="0"/>
        <v>0.007</v>
      </c>
      <c r="W21" s="163">
        <f>V21*C10/V59</f>
        <v>0.0027</v>
      </c>
    </row>
    <row r="22" spans="1:26" ht="12.75">
      <c r="A22" s="176">
        <v>1</v>
      </c>
      <c r="B22" s="12" t="s">
        <v>108</v>
      </c>
      <c r="C22" s="161">
        <v>12</v>
      </c>
      <c r="D22" s="12" t="s">
        <v>87</v>
      </c>
      <c r="E22" s="153" t="s">
        <v>88</v>
      </c>
      <c r="F22" s="153" t="s">
        <v>109</v>
      </c>
      <c r="G22" s="153" t="s">
        <v>110</v>
      </c>
      <c r="H22" s="160">
        <f>A22/C22</f>
        <v>0.0833333</v>
      </c>
      <c r="I22" s="169">
        <v>450</v>
      </c>
      <c r="J22" s="177">
        <f>(I22*H22)</f>
        <v>37.5</v>
      </c>
      <c r="K22" s="173">
        <f>J22/V59</f>
        <v>0.0074</v>
      </c>
      <c r="L22" s="84"/>
      <c r="M22" s="174">
        <v>1</v>
      </c>
      <c r="N22" s="12" t="s">
        <v>91</v>
      </c>
      <c r="O22" s="159">
        <v>4000</v>
      </c>
      <c r="P22" s="12" t="s">
        <v>63</v>
      </c>
      <c r="Q22" s="153" t="s">
        <v>111</v>
      </c>
      <c r="R22" s="154" t="s">
        <v>112</v>
      </c>
      <c r="S22" s="155"/>
      <c r="T22" s="160">
        <f>(+M22/O22)</f>
        <v>0.00025</v>
      </c>
      <c r="U22" s="255">
        <v>100</v>
      </c>
      <c r="V22" s="162">
        <f t="shared" si="0"/>
        <v>0.025</v>
      </c>
      <c r="W22" s="163">
        <f>V22*C10/V59</f>
        <v>0.0098</v>
      </c>
      <c r="Z22" s="178">
        <f>Z20/25</f>
        <v>225.38</v>
      </c>
    </row>
    <row r="23" spans="1:23" ht="12.75">
      <c r="A23" s="176">
        <v>1</v>
      </c>
      <c r="B23" s="12" t="s">
        <v>108</v>
      </c>
      <c r="C23" s="161">
        <v>12</v>
      </c>
      <c r="D23" s="12" t="s">
        <v>87</v>
      </c>
      <c r="E23" s="153" t="s">
        <v>88</v>
      </c>
      <c r="F23" s="153" t="s">
        <v>113</v>
      </c>
      <c r="G23" s="153" t="s">
        <v>114</v>
      </c>
      <c r="H23" s="160">
        <f>A23/C23</f>
        <v>0.0833333</v>
      </c>
      <c r="I23" s="169">
        <v>1200</v>
      </c>
      <c r="J23" s="177">
        <f>(I23*H23)</f>
        <v>100</v>
      </c>
      <c r="K23" s="173">
        <f>J23/V59</f>
        <v>0.0196</v>
      </c>
      <c r="L23" s="84"/>
      <c r="M23" s="174"/>
      <c r="N23" s="148"/>
      <c r="O23" s="159"/>
      <c r="P23" s="148"/>
      <c r="Q23" s="148"/>
      <c r="R23" s="113"/>
      <c r="S23" s="155"/>
      <c r="T23" s="179"/>
      <c r="U23" s="161"/>
      <c r="V23" s="162"/>
      <c r="W23" s="146"/>
    </row>
    <row r="24" spans="1:23" ht="12.75">
      <c r="A24" s="176">
        <v>3</v>
      </c>
      <c r="B24" s="12" t="s">
        <v>115</v>
      </c>
      <c r="C24" s="161">
        <v>12</v>
      </c>
      <c r="D24" s="12" t="s">
        <v>87</v>
      </c>
      <c r="E24" s="153" t="s">
        <v>88</v>
      </c>
      <c r="F24" s="153" t="s">
        <v>116</v>
      </c>
      <c r="G24" s="153" t="s">
        <v>493</v>
      </c>
      <c r="H24" s="160">
        <f>1/12</f>
        <v>0.0833333</v>
      </c>
      <c r="I24" s="161">
        <f>(+I20*A24)/100</f>
        <v>1800</v>
      </c>
      <c r="J24" s="177">
        <f>(I24*H24)</f>
        <v>150</v>
      </c>
      <c r="K24" s="173">
        <f>J24/V59</f>
        <v>0.0295</v>
      </c>
      <c r="L24" s="84"/>
      <c r="M24" s="294"/>
      <c r="N24" s="142"/>
      <c r="O24" s="144"/>
      <c r="P24" s="142"/>
      <c r="Q24" s="223" t="s">
        <v>118</v>
      </c>
      <c r="R24" s="218" t="s">
        <v>119</v>
      </c>
      <c r="S24" s="219"/>
      <c r="T24" s="220"/>
      <c r="U24" s="221"/>
      <c r="V24" s="243">
        <f>SUM(V16:V22)</f>
        <v>1.1356</v>
      </c>
      <c r="W24" s="184">
        <f>V24*C10/V59</f>
        <v>0.446</v>
      </c>
    </row>
    <row r="25" spans="1:23" ht="12.75">
      <c r="A25" s="185"/>
      <c r="B25" s="148"/>
      <c r="C25" s="161"/>
      <c r="D25" s="148"/>
      <c r="E25" s="148"/>
      <c r="F25" s="148"/>
      <c r="G25" s="148"/>
      <c r="H25" s="186"/>
      <c r="I25" s="179"/>
      <c r="J25" s="187"/>
      <c r="K25" s="117"/>
      <c r="L25" s="84"/>
      <c r="M25" s="152"/>
      <c r="N25" s="148"/>
      <c r="O25" s="148"/>
      <c r="P25" s="148"/>
      <c r="Q25" s="295"/>
      <c r="R25" s="155"/>
      <c r="S25" s="155"/>
      <c r="T25" s="148"/>
      <c r="U25" s="157"/>
      <c r="V25" s="296"/>
      <c r="W25" s="103"/>
    </row>
    <row r="26" spans="1:23" ht="12.75">
      <c r="A26" s="185"/>
      <c r="B26" s="148"/>
      <c r="C26" s="161"/>
      <c r="D26" s="148"/>
      <c r="E26" s="148"/>
      <c r="F26" s="153" t="s">
        <v>120</v>
      </c>
      <c r="G26" s="153" t="s">
        <v>121</v>
      </c>
      <c r="H26" s="186"/>
      <c r="I26" s="179"/>
      <c r="J26" s="177">
        <f>SUM(J18:J24)</f>
        <v>1721.59</v>
      </c>
      <c r="K26" s="192"/>
      <c r="L26" s="84"/>
      <c r="M26" s="26"/>
      <c r="N26" s="25"/>
      <c r="O26" s="25"/>
      <c r="P26" s="25"/>
      <c r="Q26" s="25"/>
      <c r="R26" s="194"/>
      <c r="S26" s="194"/>
      <c r="T26" s="25"/>
      <c r="U26" s="25"/>
      <c r="V26" s="297"/>
      <c r="W26" s="103"/>
    </row>
    <row r="27" spans="1:23" ht="12.75">
      <c r="A27" s="176">
        <v>100</v>
      </c>
      <c r="B27" s="12" t="s">
        <v>51</v>
      </c>
      <c r="C27" s="161">
        <v>1</v>
      </c>
      <c r="D27" s="12" t="s">
        <v>87</v>
      </c>
      <c r="E27" s="153" t="s">
        <v>88</v>
      </c>
      <c r="F27" s="148"/>
      <c r="G27" s="12" t="s">
        <v>122</v>
      </c>
      <c r="H27" s="195">
        <f>(+A27/C27)/100</f>
        <v>1</v>
      </c>
      <c r="I27" s="161"/>
      <c r="J27" s="177">
        <f>J26*H27</f>
        <v>1721.59</v>
      </c>
      <c r="K27" s="196">
        <f>J27/V59</f>
        <v>0.3381</v>
      </c>
      <c r="L27" s="84"/>
      <c r="M27" s="152"/>
      <c r="N27" s="148"/>
      <c r="O27" s="148"/>
      <c r="P27" s="148"/>
      <c r="Q27" s="148"/>
      <c r="R27" s="113"/>
      <c r="S27" s="113"/>
      <c r="T27" s="148"/>
      <c r="U27" s="157"/>
      <c r="V27" s="298"/>
      <c r="W27" s="103"/>
    </row>
    <row r="28" spans="1:23" ht="12.75">
      <c r="A28" s="185"/>
      <c r="B28" s="148"/>
      <c r="C28" s="161"/>
      <c r="D28" s="148"/>
      <c r="E28" s="148"/>
      <c r="F28" s="148"/>
      <c r="G28" s="148"/>
      <c r="H28" s="195"/>
      <c r="I28" s="161"/>
      <c r="J28" s="177"/>
      <c r="K28" s="192"/>
      <c r="L28" s="84"/>
      <c r="M28" s="141"/>
      <c r="N28" s="142"/>
      <c r="O28" s="142"/>
      <c r="P28" s="142"/>
      <c r="Q28" s="142"/>
      <c r="R28" s="126"/>
      <c r="S28" s="126"/>
      <c r="T28" s="142"/>
      <c r="U28" s="299"/>
      <c r="V28" s="300"/>
      <c r="W28" s="103"/>
    </row>
    <row r="29" spans="1:23" ht="12.75">
      <c r="A29" s="185"/>
      <c r="B29" s="148"/>
      <c r="C29" s="161"/>
      <c r="D29" s="148"/>
      <c r="E29" s="169"/>
      <c r="F29" s="170"/>
      <c r="G29" s="170"/>
      <c r="H29" s="199"/>
      <c r="I29" s="200"/>
      <c r="J29" s="172"/>
      <c r="K29" s="173"/>
      <c r="L29" s="84"/>
      <c r="M29" s="197"/>
      <c r="N29" s="113"/>
      <c r="O29" s="113"/>
      <c r="P29" s="113"/>
      <c r="Q29" s="113"/>
      <c r="R29" s="113"/>
      <c r="S29" s="113"/>
      <c r="T29" s="113"/>
      <c r="U29" s="127"/>
      <c r="V29" s="127"/>
      <c r="W29" s="103"/>
    </row>
    <row r="30" spans="1:23" ht="12.75">
      <c r="A30" s="167">
        <v>2</v>
      </c>
      <c r="B30" s="168" t="s">
        <v>123</v>
      </c>
      <c r="C30" s="175">
        <f>C10</f>
        <v>2000</v>
      </c>
      <c r="D30" s="168" t="s">
        <v>124</v>
      </c>
      <c r="E30" s="201">
        <f>(+C30*H30)</f>
        <v>40</v>
      </c>
      <c r="F30" s="170" t="s">
        <v>125</v>
      </c>
      <c r="G30" s="202" t="s">
        <v>126</v>
      </c>
      <c r="H30" s="199">
        <f>(+A30/100)</f>
        <v>0.02</v>
      </c>
      <c r="I30" s="203">
        <f>V24</f>
        <v>1.1356</v>
      </c>
      <c r="J30" s="172">
        <f>E30*I30</f>
        <v>45.42</v>
      </c>
      <c r="K30" s="173">
        <f>J30/V$59</f>
        <v>0.0089</v>
      </c>
      <c r="L30" s="84"/>
      <c r="M30" s="197"/>
      <c r="N30" s="113"/>
      <c r="O30" s="113"/>
      <c r="P30" s="113"/>
      <c r="Q30" s="113"/>
      <c r="R30" s="113"/>
      <c r="S30" s="113"/>
      <c r="T30" s="113"/>
      <c r="U30" s="127"/>
      <c r="V30" s="127"/>
      <c r="W30" s="103"/>
    </row>
    <row r="31" spans="1:23" ht="12.75">
      <c r="A31" s="176"/>
      <c r="B31" s="12"/>
      <c r="C31" s="161"/>
      <c r="D31" s="12"/>
      <c r="E31" s="159"/>
      <c r="F31" s="153"/>
      <c r="G31" s="153"/>
      <c r="H31" s="195"/>
      <c r="I31" s="169"/>
      <c r="J31" s="177"/>
      <c r="K31" s="173"/>
      <c r="L31" s="84"/>
      <c r="M31" s="101"/>
      <c r="N31" s="102"/>
      <c r="O31" s="102"/>
      <c r="P31" s="102"/>
      <c r="Q31" s="102"/>
      <c r="R31" s="102"/>
      <c r="S31" s="102"/>
      <c r="T31" s="102"/>
      <c r="U31" s="102"/>
      <c r="V31" s="102"/>
      <c r="W31" s="103"/>
    </row>
    <row r="32" spans="1:23" ht="12.75">
      <c r="A32" s="174"/>
      <c r="B32" s="148"/>
      <c r="C32" s="161"/>
      <c r="D32" s="148"/>
      <c r="E32" s="148"/>
      <c r="F32" s="170" t="s">
        <v>132</v>
      </c>
      <c r="G32" s="148" t="s">
        <v>445</v>
      </c>
      <c r="H32" s="186"/>
      <c r="I32" s="157"/>
      <c r="J32" s="177">
        <f>SUM(J27:J30)</f>
        <v>1767.01</v>
      </c>
      <c r="K32" s="173"/>
      <c r="L32" s="84"/>
      <c r="M32" s="301"/>
      <c r="N32" s="302"/>
      <c r="O32" s="302"/>
      <c r="P32" s="302"/>
      <c r="Q32" s="303"/>
      <c r="R32" s="302"/>
      <c r="S32" s="302"/>
      <c r="T32" s="302"/>
      <c r="U32" s="304"/>
      <c r="V32" s="302"/>
      <c r="W32" s="93"/>
    </row>
    <row r="33" spans="1:23" ht="20.25">
      <c r="A33" s="174"/>
      <c r="B33" s="148"/>
      <c r="C33" s="161"/>
      <c r="D33" s="148"/>
      <c r="E33" s="424"/>
      <c r="F33" s="170"/>
      <c r="G33" s="170"/>
      <c r="H33" s="423"/>
      <c r="I33" s="428"/>
      <c r="J33" s="425"/>
      <c r="K33" s="173"/>
      <c r="L33" s="84"/>
      <c r="M33" s="94" t="s">
        <v>127</v>
      </c>
      <c r="N33" s="95"/>
      <c r="O33" s="95"/>
      <c r="P33" s="95"/>
      <c r="Q33" s="95"/>
      <c r="R33" s="95"/>
      <c r="S33" s="95"/>
      <c r="T33" s="95"/>
      <c r="U33" s="95"/>
      <c r="V33" s="208"/>
      <c r="W33" s="93"/>
    </row>
    <row r="34" spans="1:23" ht="12.75">
      <c r="A34" s="760">
        <v>2.5</v>
      </c>
      <c r="B34" s="168" t="s">
        <v>198</v>
      </c>
      <c r="C34" s="161"/>
      <c r="D34" s="12"/>
      <c r="E34" s="424"/>
      <c r="F34" s="170" t="s">
        <v>449</v>
      </c>
      <c r="G34" s="226" t="s">
        <v>448</v>
      </c>
      <c r="H34" s="186">
        <f>A34/100</f>
        <v>0.025</v>
      </c>
      <c r="I34" s="246">
        <f>J32</f>
        <v>1767.01</v>
      </c>
      <c r="J34" s="172">
        <f>H34*I34</f>
        <v>44.18</v>
      </c>
      <c r="K34" s="173"/>
      <c r="L34" s="84"/>
      <c r="M34" s="209"/>
      <c r="N34" s="210"/>
      <c r="O34" s="210"/>
      <c r="P34" s="210"/>
      <c r="Q34" s="210"/>
      <c r="R34" s="210"/>
      <c r="S34" s="210"/>
      <c r="T34" s="210"/>
      <c r="U34" s="210"/>
      <c r="V34" s="210"/>
      <c r="W34" s="93"/>
    </row>
    <row r="35" spans="1:23" ht="12.75">
      <c r="A35" s="176"/>
      <c r="B35" s="12"/>
      <c r="C35" s="161"/>
      <c r="D35" s="12"/>
      <c r="E35" s="159"/>
      <c r="F35" s="153"/>
      <c r="G35" s="153"/>
      <c r="H35" s="195"/>
      <c r="I35" s="169"/>
      <c r="J35" s="177"/>
      <c r="K35" s="173"/>
      <c r="L35" s="84"/>
      <c r="M35" s="188"/>
      <c r="N35" s="106"/>
      <c r="O35" s="133"/>
      <c r="P35" s="133"/>
      <c r="Q35" s="133"/>
      <c r="R35" s="136"/>
      <c r="S35" s="134"/>
      <c r="T35" s="133"/>
      <c r="U35" s="135" t="s">
        <v>64</v>
      </c>
      <c r="V35" s="211"/>
      <c r="W35" s="93"/>
    </row>
    <row r="36" spans="1:23" ht="12.75">
      <c r="A36" s="101"/>
      <c r="B36" s="212"/>
      <c r="C36" s="212"/>
      <c r="D36" s="212"/>
      <c r="E36" s="212"/>
      <c r="F36" s="212"/>
      <c r="G36" s="212"/>
      <c r="H36" s="213"/>
      <c r="I36" s="214"/>
      <c r="J36" s="214"/>
      <c r="K36" s="93"/>
      <c r="L36" s="84"/>
      <c r="M36" s="197"/>
      <c r="N36" s="113"/>
      <c r="O36" s="12" t="s">
        <v>75</v>
      </c>
      <c r="P36" s="12" t="s">
        <v>67</v>
      </c>
      <c r="Q36" s="12" t="s">
        <v>69</v>
      </c>
      <c r="R36" s="815" t="s">
        <v>128</v>
      </c>
      <c r="S36" s="816"/>
      <c r="T36" s="12" t="s">
        <v>71</v>
      </c>
      <c r="U36" s="12" t="s">
        <v>72</v>
      </c>
      <c r="V36" s="177" t="s">
        <v>129</v>
      </c>
      <c r="W36" s="215"/>
    </row>
    <row r="37" spans="1:23" ht="12.75">
      <c r="A37" s="167"/>
      <c r="B37" s="168"/>
      <c r="C37" s="175"/>
      <c r="D37" s="168"/>
      <c r="E37" s="216"/>
      <c r="F37" s="170"/>
      <c r="G37" s="202"/>
      <c r="H37" s="199"/>
      <c r="I37" s="203"/>
      <c r="J37" s="172"/>
      <c r="K37" s="173"/>
      <c r="L37" s="84"/>
      <c r="M37" s="209"/>
      <c r="N37" s="210"/>
      <c r="O37" s="150"/>
      <c r="P37" s="150"/>
      <c r="Q37" s="150"/>
      <c r="R37" s="151"/>
      <c r="S37" s="217"/>
      <c r="T37" s="150"/>
      <c r="U37" s="144" t="s">
        <v>74</v>
      </c>
      <c r="V37" s="151"/>
      <c r="W37" s="103"/>
    </row>
    <row r="38" spans="1:23" ht="12.75">
      <c r="A38" s="152"/>
      <c r="B38" s="148"/>
      <c r="C38" s="179"/>
      <c r="D38" s="148"/>
      <c r="E38" s="148"/>
      <c r="F38" s="148"/>
      <c r="G38" s="148"/>
      <c r="H38" s="148"/>
      <c r="I38" s="179"/>
      <c r="J38" s="187"/>
      <c r="K38" s="173"/>
      <c r="L38" s="84"/>
      <c r="M38" s="197"/>
      <c r="N38" s="113"/>
      <c r="O38" s="148"/>
      <c r="P38" s="133"/>
      <c r="Q38" s="154" t="s">
        <v>130</v>
      </c>
      <c r="R38" s="218" t="s">
        <v>131</v>
      </c>
      <c r="S38" s="219"/>
      <c r="T38" s="220"/>
      <c r="U38" s="221"/>
      <c r="V38" s="39" t="s">
        <v>73</v>
      </c>
      <c r="W38" s="222"/>
    </row>
    <row r="39" spans="1:23" ht="12.75">
      <c r="A39" s="141"/>
      <c r="B39" s="142"/>
      <c r="C39" s="144"/>
      <c r="D39" s="142"/>
      <c r="E39" s="142"/>
      <c r="F39" s="223" t="s">
        <v>203</v>
      </c>
      <c r="G39" s="218" t="s">
        <v>450</v>
      </c>
      <c r="H39" s="224"/>
      <c r="I39" s="224"/>
      <c r="J39" s="225">
        <f>SUM(J32:J34)</f>
        <v>1811.19</v>
      </c>
      <c r="K39" s="196">
        <f>J39/V59</f>
        <v>0.3557</v>
      </c>
      <c r="L39" s="84"/>
      <c r="M39" s="197"/>
      <c r="N39" s="113"/>
      <c r="O39" s="148"/>
      <c r="P39" s="148"/>
      <c r="Q39" s="154" t="s">
        <v>133</v>
      </c>
      <c r="R39" s="226" t="s">
        <v>134</v>
      </c>
      <c r="S39" s="227"/>
      <c r="T39" s="179"/>
      <c r="U39" s="166">
        <f>V24</f>
        <v>1.1356</v>
      </c>
      <c r="V39" s="162">
        <f>$V$24</f>
        <v>1.1356</v>
      </c>
      <c r="W39" s="103"/>
    </row>
    <row r="40" spans="1:23" ht="12.75">
      <c r="A40" s="197"/>
      <c r="B40" s="113"/>
      <c r="C40" s="113"/>
      <c r="D40" s="113"/>
      <c r="E40" s="113"/>
      <c r="F40" s="154"/>
      <c r="G40" s="154"/>
      <c r="H40" s="154"/>
      <c r="I40" s="154"/>
      <c r="J40" s="127"/>
      <c r="K40" s="228"/>
      <c r="L40" s="84"/>
      <c r="M40" s="197"/>
      <c r="N40" s="113"/>
      <c r="O40" s="161"/>
      <c r="P40" s="12"/>
      <c r="Q40" s="154"/>
      <c r="R40" s="226"/>
      <c r="S40" s="227"/>
      <c r="T40" s="160"/>
      <c r="U40" s="179"/>
      <c r="V40" s="162"/>
      <c r="W40" s="163"/>
    </row>
    <row r="41" spans="1:23" ht="20.25">
      <c r="A41" s="229" t="s">
        <v>136</v>
      </c>
      <c r="B41" s="230"/>
      <c r="C41" s="230"/>
      <c r="D41" s="230"/>
      <c r="E41" s="230"/>
      <c r="F41" s="230"/>
      <c r="G41" s="230"/>
      <c r="H41" s="230"/>
      <c r="I41" s="230"/>
      <c r="J41" s="230"/>
      <c r="K41" s="192"/>
      <c r="L41" s="84"/>
      <c r="M41" s="197"/>
      <c r="N41" s="113"/>
      <c r="O41" s="161">
        <f>C48</f>
        <v>5.5</v>
      </c>
      <c r="P41" s="12" t="s">
        <v>51</v>
      </c>
      <c r="Q41" s="154" t="s">
        <v>135</v>
      </c>
      <c r="R41" s="226" t="s">
        <v>138</v>
      </c>
      <c r="S41" s="227"/>
      <c r="T41" s="160">
        <f>(+O41/100)</f>
        <v>0.055</v>
      </c>
      <c r="U41" s="179"/>
      <c r="V41" s="162">
        <f>(+V39*T41)</f>
        <v>0.0625</v>
      </c>
      <c r="W41" s="163">
        <f>V41*C10/V59</f>
        <v>0.0245</v>
      </c>
    </row>
    <row r="42" spans="1:23" ht="20.25">
      <c r="A42" s="197"/>
      <c r="B42" s="113"/>
      <c r="C42" s="113"/>
      <c r="D42" s="113"/>
      <c r="E42" s="113"/>
      <c r="F42" s="113"/>
      <c r="G42" s="155"/>
      <c r="H42" s="113"/>
      <c r="I42" s="113"/>
      <c r="J42" s="113"/>
      <c r="K42" s="97"/>
      <c r="L42" s="84"/>
      <c r="M42" s="197"/>
      <c r="N42" s="113"/>
      <c r="O42" s="161" t="s">
        <v>139</v>
      </c>
      <c r="P42" s="148"/>
      <c r="Q42" s="154" t="s">
        <v>137</v>
      </c>
      <c r="R42" s="226" t="s">
        <v>418</v>
      </c>
      <c r="S42" s="227"/>
      <c r="T42" s="179"/>
      <c r="U42" s="179"/>
      <c r="V42" s="162">
        <f>SUM(V39:V41)</f>
        <v>1.1981</v>
      </c>
      <c r="W42" s="163"/>
    </row>
    <row r="43" spans="1:23" ht="12.75">
      <c r="A43" s="188"/>
      <c r="B43" s="134"/>
      <c r="C43" s="133"/>
      <c r="D43" s="133"/>
      <c r="E43" s="133"/>
      <c r="F43" s="231"/>
      <c r="G43" s="182"/>
      <c r="H43" s="15"/>
      <c r="I43" s="135" t="s">
        <v>64</v>
      </c>
      <c r="J43" s="136"/>
      <c r="K43" s="117"/>
      <c r="L43" s="84"/>
      <c r="M43" s="197"/>
      <c r="N43" s="113"/>
      <c r="O43" s="161">
        <f>C51</f>
        <v>0</v>
      </c>
      <c r="P43" s="12" t="s">
        <v>51</v>
      </c>
      <c r="Q43" s="154" t="s">
        <v>140</v>
      </c>
      <c r="R43" s="226" t="s">
        <v>142</v>
      </c>
      <c r="S43" s="227"/>
      <c r="T43" s="160">
        <f>(+O43/100)</f>
        <v>0</v>
      </c>
      <c r="U43" s="232">
        <f>V42</f>
        <v>1.1981</v>
      </c>
      <c r="V43" s="162">
        <f>(+V42*T43)</f>
        <v>0</v>
      </c>
      <c r="W43" s="163">
        <f>V43*C10/V59</f>
        <v>0</v>
      </c>
    </row>
    <row r="44" spans="1:23" ht="12.75">
      <c r="A44" s="197"/>
      <c r="B44" s="233"/>
      <c r="C44" s="12" t="s">
        <v>75</v>
      </c>
      <c r="D44" s="12" t="s">
        <v>67</v>
      </c>
      <c r="E44" s="12" t="s">
        <v>69</v>
      </c>
      <c r="F44" s="815" t="s">
        <v>70</v>
      </c>
      <c r="G44" s="816"/>
      <c r="H44" s="12" t="s">
        <v>71</v>
      </c>
      <c r="I44" s="12" t="s">
        <v>72</v>
      </c>
      <c r="J44" s="138" t="s">
        <v>73</v>
      </c>
      <c r="K44" s="117"/>
      <c r="L44" s="84"/>
      <c r="M44" s="197"/>
      <c r="N44" s="113"/>
      <c r="O44" s="161" t="s">
        <v>139</v>
      </c>
      <c r="P44" s="148"/>
      <c r="Q44" s="154" t="s">
        <v>141</v>
      </c>
      <c r="R44" s="226" t="s">
        <v>419</v>
      </c>
      <c r="S44" s="227"/>
      <c r="T44" s="179"/>
      <c r="U44" s="179"/>
      <c r="V44" s="162">
        <f>SUM(V42:V43)</f>
        <v>1.1981</v>
      </c>
      <c r="W44" s="163"/>
    </row>
    <row r="45" spans="1:23" ht="12.75">
      <c r="A45" s="197"/>
      <c r="B45" s="233"/>
      <c r="C45" s="142"/>
      <c r="D45" s="142"/>
      <c r="E45" s="142"/>
      <c r="F45" s="145"/>
      <c r="G45" s="126"/>
      <c r="H45" s="150"/>
      <c r="I45" s="144" t="s">
        <v>74</v>
      </c>
      <c r="J45" s="145"/>
      <c r="K45" s="234"/>
      <c r="L45" s="84"/>
      <c r="M45" s="197"/>
      <c r="N45" s="113"/>
      <c r="O45" s="161">
        <f>C54</f>
        <v>9</v>
      </c>
      <c r="P45" s="12" t="s">
        <v>51</v>
      </c>
      <c r="Q45" s="154" t="s">
        <v>143</v>
      </c>
      <c r="R45" s="226" t="s">
        <v>145</v>
      </c>
      <c r="S45" s="227"/>
      <c r="T45" s="160">
        <f>(+O45/100)</f>
        <v>0.09</v>
      </c>
      <c r="U45" s="232">
        <f>V44</f>
        <v>1.1981</v>
      </c>
      <c r="V45" s="162">
        <f>(+V44*T45)</f>
        <v>0.1078</v>
      </c>
      <c r="W45" s="163">
        <f>V45*C10/V59</f>
        <v>0.0423</v>
      </c>
    </row>
    <row r="46" spans="1:23" ht="12.75">
      <c r="A46" s="197"/>
      <c r="B46" s="233"/>
      <c r="C46" s="148"/>
      <c r="D46" s="148"/>
      <c r="E46" s="153" t="s">
        <v>146</v>
      </c>
      <c r="F46" s="181" t="s">
        <v>176</v>
      </c>
      <c r="G46" s="106"/>
      <c r="H46" s="235"/>
      <c r="I46" s="161">
        <f>J39</f>
        <v>1811.19</v>
      </c>
      <c r="J46" s="236">
        <f>J39</f>
        <v>1811.19</v>
      </c>
      <c r="K46" s="117"/>
      <c r="L46" s="84"/>
      <c r="M46" s="197"/>
      <c r="N46" s="113"/>
      <c r="O46" s="161" t="s">
        <v>139</v>
      </c>
      <c r="P46" s="148"/>
      <c r="Q46" s="154" t="s">
        <v>144</v>
      </c>
      <c r="R46" s="226" t="s">
        <v>420</v>
      </c>
      <c r="S46" s="227"/>
      <c r="T46" s="179"/>
      <c r="U46" s="179"/>
      <c r="V46" s="162">
        <f>SUM(V44:V45)</f>
        <v>1.3059</v>
      </c>
      <c r="W46" s="163"/>
    </row>
    <row r="47" spans="1:23" ht="12.75">
      <c r="A47" s="197"/>
      <c r="B47" s="233"/>
      <c r="C47" s="706"/>
      <c r="D47" s="12"/>
      <c r="E47" s="153"/>
      <c r="F47" s="226"/>
      <c r="G47" s="227"/>
      <c r="H47" s="160"/>
      <c r="I47" s="179"/>
      <c r="J47" s="177"/>
      <c r="K47" s="173"/>
      <c r="L47" s="84"/>
      <c r="M47" s="197"/>
      <c r="N47" s="113"/>
      <c r="O47" s="161">
        <f>C57</f>
        <v>7.81</v>
      </c>
      <c r="P47" s="12" t="s">
        <v>51</v>
      </c>
      <c r="Q47" s="154" t="s">
        <v>150</v>
      </c>
      <c r="R47" s="226" t="s">
        <v>151</v>
      </c>
      <c r="S47" s="227"/>
      <c r="T47" s="160">
        <f>(+O47/100)</f>
        <v>0.0781</v>
      </c>
      <c r="U47" s="179"/>
      <c r="V47" s="162">
        <f>(+V49*T47)</f>
        <v>0.1106</v>
      </c>
      <c r="W47" s="163">
        <f>V47*C10/V59</f>
        <v>0.0434</v>
      </c>
    </row>
    <row r="48" spans="1:23" ht="12.75">
      <c r="A48" s="197"/>
      <c r="B48" s="233"/>
      <c r="C48" s="237">
        <v>5.5</v>
      </c>
      <c r="D48" s="12" t="s">
        <v>51</v>
      </c>
      <c r="E48" s="153" t="s">
        <v>149</v>
      </c>
      <c r="F48" s="226" t="s">
        <v>138</v>
      </c>
      <c r="G48" s="227"/>
      <c r="H48" s="160">
        <f>(C48/100)</f>
        <v>0.055</v>
      </c>
      <c r="I48" s="179"/>
      <c r="J48" s="177">
        <f>(+J46*H48)</f>
        <v>99.62</v>
      </c>
      <c r="K48" s="173">
        <f>J48/V59</f>
        <v>0.0196</v>
      </c>
      <c r="L48" s="84"/>
      <c r="M48" s="197"/>
      <c r="N48" s="113"/>
      <c r="O48" s="161" t="s">
        <v>139</v>
      </c>
      <c r="P48" s="148"/>
      <c r="Q48" s="113"/>
      <c r="R48" s="156"/>
      <c r="S48" s="233"/>
      <c r="T48" s="179"/>
      <c r="U48" s="179"/>
      <c r="V48" s="162"/>
      <c r="W48" s="146"/>
    </row>
    <row r="49" spans="1:25" ht="12.75">
      <c r="A49" s="197"/>
      <c r="B49" s="233"/>
      <c r="C49" s="161" t="s">
        <v>139</v>
      </c>
      <c r="D49" s="148"/>
      <c r="E49" s="148"/>
      <c r="F49" s="156"/>
      <c r="G49" s="113"/>
      <c r="H49" s="160"/>
      <c r="I49" s="161"/>
      <c r="J49" s="177"/>
      <c r="K49" s="238"/>
      <c r="L49" s="84"/>
      <c r="M49" s="239"/>
      <c r="N49" s="126"/>
      <c r="O49" s="240" t="s">
        <v>139</v>
      </c>
      <c r="P49" s="142"/>
      <c r="Q49" s="241" t="s">
        <v>148</v>
      </c>
      <c r="R49" s="218" t="s">
        <v>421</v>
      </c>
      <c r="S49" s="221"/>
      <c r="T49" s="242"/>
      <c r="U49" s="220"/>
      <c r="V49" s="243">
        <f>V46/(1-T47)</f>
        <v>1.4165</v>
      </c>
      <c r="W49" s="244">
        <f>V49*C10/V59</f>
        <v>0.5563</v>
      </c>
      <c r="Y49" s="178"/>
    </row>
    <row r="50" spans="1:23" ht="12.75">
      <c r="A50" s="197"/>
      <c r="B50" s="233"/>
      <c r="C50" s="245"/>
      <c r="D50" s="148"/>
      <c r="E50" s="153" t="s">
        <v>152</v>
      </c>
      <c r="F50" s="226" t="s">
        <v>424</v>
      </c>
      <c r="G50" s="113"/>
      <c r="H50" s="160"/>
      <c r="I50" s="179"/>
      <c r="J50" s="177">
        <f>SUM(J46:J48)</f>
        <v>1910.81</v>
      </c>
      <c r="K50" s="173"/>
      <c r="L50" s="84"/>
      <c r="M50" s="193"/>
      <c r="N50" s="194"/>
      <c r="O50" s="194"/>
      <c r="P50" s="194"/>
      <c r="Q50" s="194"/>
      <c r="R50" s="194"/>
      <c r="S50" s="194"/>
      <c r="T50" s="194"/>
      <c r="U50" s="194"/>
      <c r="V50" s="194"/>
      <c r="W50" s="103"/>
    </row>
    <row r="51" spans="1:23" ht="12.75">
      <c r="A51" s="197"/>
      <c r="B51" s="233"/>
      <c r="C51" s="161">
        <v>0</v>
      </c>
      <c r="D51" s="12" t="s">
        <v>51</v>
      </c>
      <c r="E51" s="153" t="s">
        <v>154</v>
      </c>
      <c r="F51" s="226" t="s">
        <v>142</v>
      </c>
      <c r="G51" s="227"/>
      <c r="H51" s="160">
        <f>(C51/100)</f>
        <v>0</v>
      </c>
      <c r="I51" s="246">
        <f>J50</f>
        <v>1910.81</v>
      </c>
      <c r="J51" s="177">
        <f>(+J50*H51)</f>
        <v>0</v>
      </c>
      <c r="K51" s="173">
        <f>J51/V59</f>
        <v>0</v>
      </c>
      <c r="L51" s="84"/>
      <c r="M51" s="197"/>
      <c r="N51" s="113"/>
      <c r="O51" s="113"/>
      <c r="P51" s="113"/>
      <c r="Q51" s="113"/>
      <c r="R51" s="113"/>
      <c r="S51" s="113"/>
      <c r="T51" s="113"/>
      <c r="U51" s="113"/>
      <c r="V51" s="113"/>
      <c r="W51" s="103"/>
    </row>
    <row r="52" spans="1:23" ht="13.5" thickBot="1">
      <c r="A52" s="197"/>
      <c r="B52" s="233"/>
      <c r="C52" s="161" t="s">
        <v>139</v>
      </c>
      <c r="D52" s="148"/>
      <c r="E52" s="148"/>
      <c r="F52" s="156"/>
      <c r="G52" s="113"/>
      <c r="H52" s="160"/>
      <c r="I52" s="161"/>
      <c r="J52" s="177"/>
      <c r="K52" s="238"/>
      <c r="L52" s="84"/>
      <c r="M52" s="197"/>
      <c r="N52" s="113"/>
      <c r="O52" s="113"/>
      <c r="P52" s="113"/>
      <c r="Q52" s="113"/>
      <c r="R52" s="113"/>
      <c r="S52" s="113"/>
      <c r="T52" s="113"/>
      <c r="U52" s="113"/>
      <c r="V52" s="113"/>
      <c r="W52" s="103"/>
    </row>
    <row r="53" spans="1:23" ht="20.25">
      <c r="A53" s="197"/>
      <c r="B53" s="233"/>
      <c r="C53" s="161" t="s">
        <v>139</v>
      </c>
      <c r="D53" s="148"/>
      <c r="E53" s="153" t="s">
        <v>155</v>
      </c>
      <c r="F53" s="226" t="s">
        <v>425</v>
      </c>
      <c r="G53" s="113"/>
      <c r="H53" s="160"/>
      <c r="I53" s="179"/>
      <c r="J53" s="177">
        <f>SUM(J50:J51)</f>
        <v>1910.81</v>
      </c>
      <c r="K53" s="238"/>
      <c r="L53" s="84"/>
      <c r="M53" s="197"/>
      <c r="N53" s="113"/>
      <c r="O53" s="113"/>
      <c r="P53" s="113"/>
      <c r="Q53" s="247" t="s">
        <v>157</v>
      </c>
      <c r="R53" s="248"/>
      <c r="S53" s="248"/>
      <c r="T53" s="248"/>
      <c r="U53" s="248"/>
      <c r="V53" s="248"/>
      <c r="W53" s="103"/>
    </row>
    <row r="54" spans="1:23" ht="13.5" thickBot="1">
      <c r="A54" s="197"/>
      <c r="B54" s="233"/>
      <c r="C54" s="237">
        <v>9</v>
      </c>
      <c r="D54" s="12" t="s">
        <v>51</v>
      </c>
      <c r="E54" s="153" t="s">
        <v>156</v>
      </c>
      <c r="F54" s="226" t="s">
        <v>427</v>
      </c>
      <c r="G54" s="227"/>
      <c r="H54" s="160">
        <f>(C54/100)</f>
        <v>0.09</v>
      </c>
      <c r="I54" s="246">
        <f>J53</f>
        <v>1910.81</v>
      </c>
      <c r="J54" s="177">
        <f>(+J53*H54)</f>
        <v>171.97</v>
      </c>
      <c r="K54" s="173">
        <f>J54/V59</f>
        <v>0.0338</v>
      </c>
      <c r="L54" s="84"/>
      <c r="M54" s="197"/>
      <c r="N54" s="113"/>
      <c r="O54" s="710"/>
      <c r="P54" s="113"/>
      <c r="Q54" s="249"/>
      <c r="R54" s="250"/>
      <c r="S54" s="250"/>
      <c r="T54" s="250"/>
      <c r="U54" s="250"/>
      <c r="V54" s="250"/>
      <c r="W54" s="103"/>
    </row>
    <row r="55" spans="1:23" ht="13.5" thickBot="1">
      <c r="A55" s="197"/>
      <c r="B55" s="233"/>
      <c r="C55" s="161" t="s">
        <v>139</v>
      </c>
      <c r="D55" s="148"/>
      <c r="E55" s="148"/>
      <c r="F55" s="156"/>
      <c r="G55" s="113"/>
      <c r="H55" s="160"/>
      <c r="I55" s="179"/>
      <c r="J55" s="177"/>
      <c r="K55" s="238"/>
      <c r="L55" s="84"/>
      <c r="M55" s="197"/>
      <c r="N55" s="113"/>
      <c r="O55" s="113"/>
      <c r="P55" s="113"/>
      <c r="Q55" s="731" t="s">
        <v>422</v>
      </c>
      <c r="R55" s="251" t="s">
        <v>431</v>
      </c>
      <c r="S55" s="252"/>
      <c r="T55" s="252"/>
      <c r="U55" s="252"/>
      <c r="V55" s="253">
        <f>C10*V49</f>
        <v>2833</v>
      </c>
      <c r="W55" s="254">
        <f>V55/V59</f>
        <v>0.5563</v>
      </c>
    </row>
    <row r="56" spans="1:23" ht="13.5" thickBot="1">
      <c r="A56" s="197"/>
      <c r="B56" s="233"/>
      <c r="C56" s="161" t="s">
        <v>139</v>
      </c>
      <c r="D56" s="148"/>
      <c r="E56" s="153" t="s">
        <v>158</v>
      </c>
      <c r="F56" s="226" t="s">
        <v>162</v>
      </c>
      <c r="G56" s="113"/>
      <c r="H56" s="160"/>
      <c r="I56" s="179"/>
      <c r="J56" s="177">
        <f>SUM(J53:J54)</f>
        <v>2082.78</v>
      </c>
      <c r="K56" s="238"/>
      <c r="L56" s="84"/>
      <c r="M56" s="197"/>
      <c r="N56" s="113"/>
      <c r="O56" s="113"/>
      <c r="P56" s="113"/>
      <c r="Q56" s="732" t="s">
        <v>159</v>
      </c>
      <c r="R56" s="154" t="s">
        <v>164</v>
      </c>
      <c r="S56" s="113"/>
      <c r="T56" s="113"/>
      <c r="U56" s="154"/>
      <c r="V56" s="127">
        <f>J59</f>
        <v>2259.23</v>
      </c>
      <c r="W56" s="254">
        <f>V56/V59</f>
        <v>0.4437</v>
      </c>
    </row>
    <row r="57" spans="1:23" ht="12.75">
      <c r="A57" s="197"/>
      <c r="B57" s="233"/>
      <c r="C57" s="255">
        <f>(15%*C54)+(9%*C54)+3.65+2</f>
        <v>7.81</v>
      </c>
      <c r="D57" s="12" t="s">
        <v>51</v>
      </c>
      <c r="E57" s="153" t="s">
        <v>165</v>
      </c>
      <c r="F57" s="226" t="s">
        <v>151</v>
      </c>
      <c r="G57" s="227"/>
      <c r="H57" s="160">
        <f>(C57/100)</f>
        <v>0.0781</v>
      </c>
      <c r="I57" s="179"/>
      <c r="J57" s="177">
        <f>(+J59*H57)</f>
        <v>176.45</v>
      </c>
      <c r="K57" s="173">
        <f>J57/V59</f>
        <v>0.0347</v>
      </c>
      <c r="L57" s="84"/>
      <c r="M57" s="197"/>
      <c r="N57" s="113"/>
      <c r="O57" s="113"/>
      <c r="P57" s="113"/>
      <c r="Q57" s="256"/>
      <c r="R57" s="257"/>
      <c r="S57" s="130"/>
      <c r="T57" s="130"/>
      <c r="U57" s="257"/>
      <c r="V57" s="258"/>
      <c r="W57" s="103"/>
    </row>
    <row r="58" spans="1:23" ht="13.5" thickBot="1">
      <c r="A58" s="197"/>
      <c r="B58" s="233"/>
      <c r="C58" s="161" t="s">
        <v>139</v>
      </c>
      <c r="D58" s="148"/>
      <c r="E58" s="148"/>
      <c r="F58" s="156"/>
      <c r="G58" s="113"/>
      <c r="H58" s="179"/>
      <c r="I58" s="179"/>
      <c r="J58" s="177"/>
      <c r="K58" s="238"/>
      <c r="L58" s="84"/>
      <c r="M58" s="197"/>
      <c r="N58" s="113"/>
      <c r="O58" s="113"/>
      <c r="P58" s="113"/>
      <c r="Q58" s="197"/>
      <c r="R58" s="113"/>
      <c r="S58" s="113"/>
      <c r="T58" s="113"/>
      <c r="U58" s="113"/>
      <c r="V58" s="155"/>
      <c r="W58" s="259"/>
    </row>
    <row r="59" spans="1:23" ht="13.5" thickBot="1">
      <c r="A59" s="260"/>
      <c r="B59" s="261"/>
      <c r="C59" s="262" t="s">
        <v>139</v>
      </c>
      <c r="D59" s="263"/>
      <c r="E59" s="264" t="s">
        <v>161</v>
      </c>
      <c r="F59" s="265" t="s">
        <v>426</v>
      </c>
      <c r="G59" s="266"/>
      <c r="H59" s="266"/>
      <c r="I59" s="266"/>
      <c r="J59" s="267">
        <f>J56/(1-H57)</f>
        <v>2259.23</v>
      </c>
      <c r="K59" s="268">
        <f>J59/V59</f>
        <v>0.4437</v>
      </c>
      <c r="L59" s="84"/>
      <c r="M59" s="260"/>
      <c r="N59" s="269"/>
      <c r="O59" s="269"/>
      <c r="P59" s="269"/>
      <c r="Q59" s="305" t="s">
        <v>163</v>
      </c>
      <c r="R59" s="306" t="s">
        <v>438</v>
      </c>
      <c r="S59" s="307"/>
      <c r="T59" s="307"/>
      <c r="U59" s="306"/>
      <c r="V59" s="308">
        <f>V55+J59</f>
        <v>5092.23</v>
      </c>
      <c r="W59" s="274">
        <f>SUM(W55:W58)</f>
        <v>1</v>
      </c>
    </row>
    <row r="60" spans="13:22" ht="24" customHeight="1" thickBot="1">
      <c r="M60" s="309" t="s">
        <v>168</v>
      </c>
      <c r="N60" s="310" t="s">
        <v>439</v>
      </c>
      <c r="O60" s="311"/>
      <c r="P60" s="311"/>
      <c r="Q60" s="312"/>
      <c r="R60" s="313"/>
      <c r="S60" s="313"/>
      <c r="T60" s="313"/>
      <c r="U60" s="314"/>
      <c r="V60" s="315">
        <f>V59*2</f>
        <v>10184.46</v>
      </c>
    </row>
    <row r="61" ht="15.75">
      <c r="A61" s="69" t="s">
        <v>169</v>
      </c>
    </row>
    <row r="63" spans="1:19" ht="15.75">
      <c r="A63" s="69" t="str">
        <f>'Trator de Esteira'!A61</f>
        <v>Patos de Minas-MG, 16 de Novembro de 2015.</v>
      </c>
      <c r="G63" s="13"/>
      <c r="M63" s="11"/>
      <c r="S63" s="13"/>
    </row>
    <row r="64" spans="7:19" ht="15">
      <c r="G64" s="11"/>
      <c r="H64" s="11"/>
      <c r="I64" s="11"/>
      <c r="S64" s="11"/>
    </row>
    <row r="65" spans="7:19" ht="15">
      <c r="G65" s="11"/>
      <c r="H65" s="11"/>
      <c r="I65" s="11"/>
      <c r="S65" s="11"/>
    </row>
    <row r="67" spans="1:10" ht="12">
      <c r="A67" s="275"/>
      <c r="B67" s="275"/>
      <c r="C67" s="275"/>
      <c r="D67" s="275"/>
      <c r="E67" s="275"/>
      <c r="F67" s="275"/>
      <c r="G67" s="275"/>
      <c r="H67" s="275"/>
      <c r="I67" s="275"/>
      <c r="J67" s="275"/>
    </row>
    <row r="91" ht="2.25" customHeight="1"/>
    <row r="92" ht="12.75" customHeight="1"/>
    <row r="93" ht="0.75" customHeight="1"/>
    <row r="118" spans="12:15" ht="12.75">
      <c r="L118" s="276"/>
      <c r="M118" s="277"/>
      <c r="N118" s="276"/>
      <c r="O118" s="277"/>
    </row>
    <row r="119" spans="12:15" ht="12.75">
      <c r="L119" s="276"/>
      <c r="M119" s="276"/>
      <c r="N119" s="276"/>
      <c r="O119" s="278"/>
    </row>
    <row r="120" spans="12:15" ht="12.75">
      <c r="L120" s="276"/>
      <c r="M120" s="276"/>
      <c r="N120" s="276"/>
      <c r="O120" s="278"/>
    </row>
    <row r="121" spans="12:15" ht="12.75">
      <c r="L121" s="276"/>
      <c r="M121" s="276"/>
      <c r="N121" s="276"/>
      <c r="O121" s="278"/>
    </row>
    <row r="122" spans="12:15" ht="12.75">
      <c r="L122" s="2"/>
      <c r="M122" s="2"/>
      <c r="N122" s="2"/>
      <c r="O122" s="279"/>
    </row>
    <row r="123" spans="1:11" ht="12.75">
      <c r="A123" s="276"/>
      <c r="B123" s="276"/>
      <c r="C123" s="276"/>
      <c r="D123" s="276"/>
      <c r="E123" s="280"/>
      <c r="F123" s="280"/>
      <c r="G123" s="280"/>
      <c r="H123" s="280"/>
      <c r="I123" s="280"/>
      <c r="J123" s="280"/>
      <c r="K123" s="280"/>
    </row>
    <row r="124" spans="1:12" ht="12.75">
      <c r="A124" s="276"/>
      <c r="B124" s="276"/>
      <c r="C124" s="276"/>
      <c r="D124" s="276"/>
      <c r="E124" s="276"/>
      <c r="F124" s="276"/>
      <c r="G124" s="276"/>
      <c r="H124" s="276"/>
      <c r="I124" s="276"/>
      <c r="J124" s="281"/>
      <c r="K124" s="281"/>
      <c r="L124" s="178"/>
    </row>
    <row r="125" spans="1:11" ht="12.75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</row>
    <row r="126" spans="1:11" ht="12.75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</row>
    <row r="127" spans="1:11" ht="12.7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</row>
    <row r="128" spans="1:11" ht="12.7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</row>
    <row r="129" spans="1:12" ht="12.75">
      <c r="A129" s="2"/>
      <c r="B129" s="2"/>
      <c r="C129" s="2"/>
      <c r="D129" s="2"/>
      <c r="E129" s="282"/>
      <c r="F129" s="2"/>
      <c r="G129" s="2"/>
      <c r="H129" s="2"/>
      <c r="I129" s="2"/>
      <c r="J129" s="2"/>
      <c r="K129" s="2"/>
      <c r="L129" s="4"/>
    </row>
    <row r="130" spans="1:12" ht="12.75">
      <c r="A130" s="2"/>
      <c r="B130" s="2"/>
      <c r="C130" s="2"/>
      <c r="D130" s="2"/>
      <c r="E130" s="283"/>
      <c r="F130" s="283"/>
      <c r="G130" s="283"/>
      <c r="H130" s="283"/>
      <c r="I130" s="2"/>
      <c r="J130" s="2"/>
      <c r="K130" s="2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83"/>
      <c r="B132" s="283"/>
      <c r="C132" s="283"/>
      <c r="D132" s="283"/>
      <c r="E132" s="283"/>
      <c r="F132" s="283"/>
      <c r="G132" s="283"/>
      <c r="H132" s="283"/>
      <c r="I132" s="283"/>
      <c r="J132" s="283"/>
      <c r="K132" s="283"/>
      <c r="L132" s="4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5"/>
      <c r="C135" s="2"/>
      <c r="D135" s="279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5"/>
      <c r="C138" s="2"/>
      <c r="D138" s="279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">
      <c r="A141" s="4"/>
      <c r="B141" s="6"/>
      <c r="C141" s="4"/>
      <c r="D141" s="284"/>
      <c r="E141" s="4"/>
      <c r="F141" s="4"/>
      <c r="G141" s="4"/>
      <c r="H141" s="4"/>
      <c r="I141" s="4"/>
      <c r="J141" s="4"/>
      <c r="K141" s="4"/>
      <c r="L141" s="4"/>
    </row>
    <row r="142" spans="1:12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4"/>
    </row>
    <row r="145" spans="1:12" ht="12">
      <c r="A145" s="4"/>
      <c r="B145" s="4"/>
      <c r="C145" s="6"/>
      <c r="D145" s="4"/>
      <c r="E145" s="4"/>
      <c r="F145" s="4"/>
      <c r="G145" s="285"/>
      <c r="H145" s="285"/>
      <c r="L145" s="4"/>
    </row>
    <row r="146" spans="1:12" ht="12">
      <c r="A146" s="7"/>
      <c r="B146" s="7"/>
      <c r="C146" s="7"/>
      <c r="D146" s="7"/>
      <c r="E146" s="7"/>
      <c r="F146" s="7"/>
      <c r="G146" s="7"/>
      <c r="H146" s="7"/>
      <c r="L146" s="4"/>
    </row>
    <row r="147" spans="1:12" ht="12">
      <c r="A147" s="4"/>
      <c r="B147" s="4"/>
      <c r="C147" s="4"/>
      <c r="D147" s="4"/>
      <c r="E147" s="4"/>
      <c r="F147" s="4"/>
      <c r="G147" s="4"/>
      <c r="H147" s="4"/>
      <c r="L147" s="4"/>
    </row>
    <row r="148" spans="1:12" ht="12">
      <c r="A148" s="4"/>
      <c r="B148" s="4"/>
      <c r="C148" s="4"/>
      <c r="D148" s="4"/>
      <c r="E148" s="4"/>
      <c r="F148" s="4"/>
      <c r="G148" s="4"/>
      <c r="H148" s="4"/>
      <c r="L148" s="4"/>
    </row>
    <row r="149" spans="2:12" ht="12">
      <c r="B149" s="286"/>
      <c r="C149" s="287"/>
      <c r="G149" s="288"/>
      <c r="H149" s="287"/>
      <c r="L149" s="4"/>
    </row>
    <row r="150" spans="7:12" ht="12">
      <c r="G150" s="289"/>
      <c r="L150" s="4"/>
    </row>
    <row r="151" spans="7:12" ht="12">
      <c r="G151" s="289"/>
      <c r="L151" s="4"/>
    </row>
    <row r="152" spans="2:12" ht="12">
      <c r="B152" s="286"/>
      <c r="C152" s="287"/>
      <c r="G152" s="288"/>
      <c r="H152" s="287"/>
      <c r="L152" s="4"/>
    </row>
    <row r="153" spans="7:12" ht="12">
      <c r="G153" s="29"/>
      <c r="L153" s="4"/>
    </row>
    <row r="154" spans="7:12" ht="12">
      <c r="G154" s="29"/>
      <c r="L154" s="4"/>
    </row>
    <row r="155" spans="2:12" ht="12">
      <c r="B155" s="3"/>
      <c r="C155" s="290"/>
      <c r="G155" s="288"/>
      <c r="H155" s="287"/>
      <c r="L155" s="4"/>
    </row>
    <row r="156" spans="7:12" ht="12">
      <c r="G156" s="29"/>
      <c r="L156" s="4"/>
    </row>
    <row r="157" spans="7:12" ht="12">
      <c r="G157" s="29"/>
      <c r="L157" s="4"/>
    </row>
    <row r="158" spans="2:12" ht="12">
      <c r="B158" s="3"/>
      <c r="C158" s="291"/>
      <c r="G158" s="288"/>
      <c r="H158" s="292"/>
      <c r="L158" s="4"/>
    </row>
    <row r="159" spans="10:12" ht="12">
      <c r="J159" s="4"/>
      <c r="K159" s="4"/>
      <c r="L159" s="4"/>
    </row>
    <row r="160" spans="1:12" ht="12">
      <c r="A160" s="293"/>
      <c r="B160" s="293"/>
      <c r="C160" s="293"/>
      <c r="D160" s="293"/>
      <c r="E160" s="293"/>
      <c r="F160" s="293"/>
      <c r="G160" s="293"/>
      <c r="H160" s="293"/>
      <c r="I160" s="293"/>
      <c r="J160" s="7"/>
      <c r="K160" s="7"/>
      <c r="L160" s="4"/>
    </row>
    <row r="161" spans="10:12" ht="12">
      <c r="J161" s="4"/>
      <c r="K161" s="4"/>
      <c r="L161" s="4"/>
    </row>
    <row r="162" spans="2:12" ht="12">
      <c r="B162" s="286"/>
      <c r="D162" s="292"/>
      <c r="J162" s="4"/>
      <c r="K162" s="4"/>
      <c r="L162" s="4"/>
    </row>
    <row r="163" spans="10:12" ht="12">
      <c r="J163" s="4"/>
      <c r="K163" s="4"/>
      <c r="L163" s="4"/>
    </row>
    <row r="164" spans="1:12" ht="12">
      <c r="A164" s="293"/>
      <c r="B164" s="293"/>
      <c r="C164" s="293"/>
      <c r="D164" s="293"/>
      <c r="E164" s="293"/>
      <c r="F164" s="293"/>
      <c r="G164" s="293"/>
      <c r="H164" s="293"/>
      <c r="I164" s="293"/>
      <c r="J164" s="7"/>
      <c r="K164" s="7"/>
      <c r="L164" s="4"/>
    </row>
    <row r="165" spans="1:12" ht="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</sheetData>
  <sheetProtection password="F184" sheet="1"/>
  <mergeCells count="6">
    <mergeCell ref="R36:S36"/>
    <mergeCell ref="F44:G44"/>
    <mergeCell ref="A1:K1"/>
    <mergeCell ref="M1:W1"/>
    <mergeCell ref="A5:J5"/>
    <mergeCell ref="R11:S11"/>
  </mergeCells>
  <printOptions horizontalCentered="1" verticalCentered="1"/>
  <pageMargins left="0" right="0" top="0.7874015748031497" bottom="0.1968503937007874" header="0.31496062992125984" footer="0.31496062992125984"/>
  <pageSetup horizontalDpi="600" verticalDpi="600" orientation="landscape" paperSize="9" scale="50" r:id="rId1"/>
  <headerFooter alignWithMargins="0">
    <oddHeader>&amp;CPágina &amp;P de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71"/>
  <sheetViews>
    <sheetView zoomScalePageLayoutView="0" workbookViewId="0" topLeftCell="K46">
      <selection activeCell="N52" sqref="N52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9.625" style="1" customWidth="1"/>
    <col min="7" max="7" width="35.125" style="1" customWidth="1"/>
    <col min="8" max="8" width="14.503906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17" width="11.00390625" style="1" customWidth="1"/>
    <col min="18" max="18" width="14.00390625" style="1" customWidth="1"/>
    <col min="19" max="21" width="11.00390625" style="1" customWidth="1"/>
    <col min="22" max="22" width="13.25390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316" t="s">
        <v>174</v>
      </c>
      <c r="B1" s="317"/>
      <c r="C1" s="317"/>
      <c r="D1" s="317"/>
      <c r="E1" s="317"/>
      <c r="F1" s="317"/>
      <c r="G1" s="317"/>
      <c r="H1" s="317"/>
      <c r="I1" s="317"/>
      <c r="J1" s="318"/>
      <c r="K1" s="319"/>
      <c r="M1" s="837" t="str">
        <f>A1</f>
        <v>CUSTO  DE  TRANSPORTE   DE   LIXO   DOMICILIAR</v>
      </c>
      <c r="N1" s="838"/>
      <c r="O1" s="838"/>
      <c r="P1" s="838"/>
      <c r="Q1" s="838"/>
      <c r="R1" s="838"/>
      <c r="S1" s="838"/>
      <c r="T1" s="838"/>
      <c r="U1" s="838"/>
      <c r="V1" s="838"/>
      <c r="W1" s="839"/>
    </row>
    <row r="2" spans="1:23" ht="20.25">
      <c r="A2" s="85" t="s">
        <v>49</v>
      </c>
      <c r="B2" s="86"/>
      <c r="C2" s="87"/>
      <c r="D2" s="86"/>
      <c r="E2" s="86"/>
      <c r="F2" s="86"/>
      <c r="G2" s="88"/>
      <c r="H2" s="86"/>
      <c r="I2" s="86"/>
      <c r="J2" s="86"/>
      <c r="K2" s="89"/>
      <c r="M2" s="90" t="str">
        <f>A2</f>
        <v>DEMONSTRATIVO MENSAL DE CUSTO OPERACIONAL UNITÁRIO DE VEÍCULO </v>
      </c>
      <c r="N2" s="91"/>
      <c r="O2" s="91"/>
      <c r="P2" s="91"/>
      <c r="Q2" s="91"/>
      <c r="R2" s="91"/>
      <c r="S2" s="92"/>
      <c r="T2" s="91"/>
      <c r="U2" s="91"/>
      <c r="V2" s="91"/>
      <c r="W2" s="93"/>
    </row>
    <row r="3" spans="1:23" ht="21" thickBot="1">
      <c r="A3" s="94" t="s">
        <v>175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  <c r="M3" s="98" t="s">
        <v>52</v>
      </c>
      <c r="N3" s="99"/>
      <c r="O3" s="99"/>
      <c r="P3" s="99"/>
      <c r="Q3" s="99"/>
      <c r="R3" s="99"/>
      <c r="S3" s="99"/>
      <c r="T3" s="99"/>
      <c r="U3" s="99"/>
      <c r="V3" s="99"/>
      <c r="W3" s="100" t="s">
        <v>51</v>
      </c>
    </row>
    <row r="4" spans="1:23" ht="12.7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M4" s="104" t="str">
        <f>A6</f>
        <v>Descrição do Veiculo: CAMINHÃO   COMPACTADOR   DE   LIXO   COM   CAPACIDADE   PARA   12 Tl.  -   Potência mínima de 220 CV</v>
      </c>
      <c r="N4" s="105"/>
      <c r="O4" s="105"/>
      <c r="P4" s="105"/>
      <c r="Q4" s="105"/>
      <c r="R4" s="105"/>
      <c r="S4" s="105"/>
      <c r="T4" s="105"/>
      <c r="U4" s="105"/>
      <c r="V4" s="105"/>
      <c r="W4" s="107"/>
    </row>
    <row r="5" spans="1:23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  <c r="M5" s="109" t="str">
        <f>A7</f>
        <v>Ano de Fabricação do veículo : 2010</v>
      </c>
      <c r="N5" s="110"/>
      <c r="O5" s="110" t="str">
        <f>A9</f>
        <v>Contratante:</v>
      </c>
      <c r="P5" s="111" t="str">
        <f>B9</f>
        <v>PREFEITURA   MUNICIPAL   DE   PATOS   DE   MINAS - MG</v>
      </c>
      <c r="Q5" s="112"/>
      <c r="R5" s="110"/>
      <c r="S5" s="110"/>
      <c r="T5" s="110"/>
      <c r="U5" s="110"/>
      <c r="V5" s="110"/>
      <c r="W5" s="103"/>
    </row>
    <row r="6" spans="1:23" ht="12.75">
      <c r="A6" s="104" t="s">
        <v>489</v>
      </c>
      <c r="B6" s="105"/>
      <c r="C6" s="105"/>
      <c r="D6" s="105"/>
      <c r="E6" s="114"/>
      <c r="F6" s="105"/>
      <c r="G6" s="105"/>
      <c r="H6" s="105"/>
      <c r="I6" s="105"/>
      <c r="J6" s="106"/>
      <c r="K6" s="115"/>
      <c r="M6" s="109" t="str">
        <f>A8</f>
        <v>Tipo de Combustível: Diesel</v>
      </c>
      <c r="N6" s="110"/>
      <c r="O6" s="110"/>
      <c r="P6" s="110"/>
      <c r="Q6" s="116"/>
      <c r="R6" s="110"/>
      <c r="S6" s="110"/>
      <c r="T6" s="110"/>
      <c r="U6" s="110"/>
      <c r="V6" s="110"/>
      <c r="W6" s="103"/>
    </row>
    <row r="7" spans="1:23" ht="12.75">
      <c r="A7" s="109" t="s">
        <v>490</v>
      </c>
      <c r="B7" s="110"/>
      <c r="C7" s="110"/>
      <c r="D7" s="116" t="s">
        <v>491</v>
      </c>
      <c r="E7" s="110"/>
      <c r="F7" s="110"/>
      <c r="G7" s="110"/>
      <c r="H7" s="110"/>
      <c r="I7" s="110"/>
      <c r="J7" s="113"/>
      <c r="K7" s="117"/>
      <c r="M7" s="118" t="str">
        <f>A10</f>
        <v>Km Estimada: </v>
      </c>
      <c r="N7" s="113"/>
      <c r="O7" s="119">
        <f>C10</f>
        <v>3100</v>
      </c>
      <c r="P7" s="113" t="str">
        <f>D10</f>
        <v>Km</v>
      </c>
      <c r="Q7" s="113"/>
      <c r="R7" s="113"/>
      <c r="S7" s="113"/>
      <c r="T7" s="113"/>
      <c r="U7" s="113"/>
      <c r="V7" s="113"/>
      <c r="W7" s="103"/>
    </row>
    <row r="8" spans="1:23" ht="15.75">
      <c r="A8" s="109" t="s">
        <v>56</v>
      </c>
      <c r="B8" s="110"/>
      <c r="C8" s="110"/>
      <c r="D8" s="110"/>
      <c r="E8" s="110"/>
      <c r="F8" s="110"/>
      <c r="G8" s="110"/>
      <c r="H8" s="320" t="s">
        <v>57</v>
      </c>
      <c r="I8" s="321">
        <v>0.25</v>
      </c>
      <c r="J8" s="113"/>
      <c r="K8" s="117"/>
      <c r="M8" s="121" t="str">
        <f>A11</f>
        <v>Horário:</v>
      </c>
      <c r="N8" s="122">
        <v>0.333333333333333</v>
      </c>
      <c r="O8" s="123" t="s">
        <v>58</v>
      </c>
      <c r="P8" s="122">
        <f>D11</f>
        <v>1</v>
      </c>
      <c r="Q8" s="124" t="s">
        <v>59</v>
      </c>
      <c r="R8" s="125"/>
      <c r="S8" s="126"/>
      <c r="T8" s="126"/>
      <c r="U8" s="126"/>
      <c r="V8" s="126"/>
      <c r="W8" s="103"/>
    </row>
    <row r="9" spans="1:23" ht="15.75">
      <c r="A9" s="109" t="s">
        <v>60</v>
      </c>
      <c r="B9" s="111" t="s">
        <v>61</v>
      </c>
      <c r="C9" s="110"/>
      <c r="D9" s="110"/>
      <c r="E9" s="110"/>
      <c r="F9" s="110"/>
      <c r="G9" s="110"/>
      <c r="H9" s="110"/>
      <c r="I9" s="120"/>
      <c r="J9" s="113"/>
      <c r="K9" s="117"/>
      <c r="M9" s="118"/>
      <c r="N9" s="127"/>
      <c r="O9" s="128"/>
      <c r="P9" s="127"/>
      <c r="Q9" s="129"/>
      <c r="R9" s="127"/>
      <c r="S9" s="113"/>
      <c r="T9" s="113"/>
      <c r="U9" s="113"/>
      <c r="V9" s="113"/>
      <c r="W9" s="103"/>
    </row>
    <row r="10" spans="1:23" ht="12.75">
      <c r="A10" s="109" t="s">
        <v>62</v>
      </c>
      <c r="B10" s="130"/>
      <c r="C10" s="131">
        <v>3100</v>
      </c>
      <c r="D10" s="110" t="s">
        <v>63</v>
      </c>
      <c r="E10" s="130"/>
      <c r="F10" s="130"/>
      <c r="G10" s="113"/>
      <c r="H10" s="113"/>
      <c r="I10" s="113"/>
      <c r="J10" s="113"/>
      <c r="K10" s="117"/>
      <c r="M10" s="132"/>
      <c r="N10" s="133"/>
      <c r="O10" s="133"/>
      <c r="P10" s="133"/>
      <c r="Q10" s="133"/>
      <c r="R10" s="106"/>
      <c r="S10" s="134"/>
      <c r="T10" s="133"/>
      <c r="U10" s="135" t="s">
        <v>64</v>
      </c>
      <c r="V10" s="136"/>
      <c r="W10" s="103"/>
    </row>
    <row r="11" spans="1:23" ht="12.75">
      <c r="A11" s="121" t="s">
        <v>65</v>
      </c>
      <c r="B11" s="137">
        <v>0.291666666666667</v>
      </c>
      <c r="C11" s="123" t="s">
        <v>58</v>
      </c>
      <c r="D11" s="137">
        <v>1</v>
      </c>
      <c r="E11" s="124" t="s">
        <v>59</v>
      </c>
      <c r="F11" s="125"/>
      <c r="G11" s="126"/>
      <c r="H11" s="126"/>
      <c r="I11" s="126"/>
      <c r="J11" s="126"/>
      <c r="K11" s="117"/>
      <c r="M11" s="16" t="s">
        <v>66</v>
      </c>
      <c r="N11" s="12" t="s">
        <v>67</v>
      </c>
      <c r="O11" s="12" t="s">
        <v>68</v>
      </c>
      <c r="P11" s="12" t="s">
        <v>67</v>
      </c>
      <c r="Q11" s="12" t="s">
        <v>69</v>
      </c>
      <c r="R11" s="815" t="s">
        <v>70</v>
      </c>
      <c r="S11" s="816"/>
      <c r="T11" s="12" t="s">
        <v>71</v>
      </c>
      <c r="U11" s="12" t="s">
        <v>72</v>
      </c>
      <c r="V11" s="138" t="s">
        <v>73</v>
      </c>
      <c r="W11" s="103"/>
    </row>
    <row r="12" spans="1:23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  <c r="M12" s="141"/>
      <c r="N12" s="142"/>
      <c r="O12" s="142"/>
      <c r="P12" s="142"/>
      <c r="Q12" s="142"/>
      <c r="R12" s="126"/>
      <c r="S12" s="143"/>
      <c r="T12" s="142"/>
      <c r="U12" s="144" t="s">
        <v>74</v>
      </c>
      <c r="V12" s="145"/>
      <c r="W12" s="146"/>
    </row>
    <row r="13" spans="1:23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  <c r="M13" s="132"/>
      <c r="N13" s="133"/>
      <c r="O13" s="133"/>
      <c r="P13" s="148"/>
      <c r="Q13" s="148"/>
      <c r="R13" s="113"/>
      <c r="S13" s="113"/>
      <c r="T13" s="133"/>
      <c r="U13" s="148"/>
      <c r="V13" s="136"/>
      <c r="W13" s="103"/>
    </row>
    <row r="14" spans="1:23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  <c r="M14" s="152"/>
      <c r="N14" s="148"/>
      <c r="O14" s="148"/>
      <c r="P14" s="148"/>
      <c r="Q14" s="153" t="s">
        <v>77</v>
      </c>
      <c r="R14" s="154" t="s">
        <v>78</v>
      </c>
      <c r="S14" s="155"/>
      <c r="T14" s="148"/>
      <c r="U14" s="148"/>
      <c r="V14" s="138" t="s">
        <v>73</v>
      </c>
      <c r="W14" s="103"/>
    </row>
    <row r="15" spans="1:23" ht="12.75">
      <c r="A15" s="152"/>
      <c r="B15" s="148"/>
      <c r="C15" s="148"/>
      <c r="D15" s="148"/>
      <c r="E15" s="148"/>
      <c r="F15" s="148"/>
      <c r="G15" s="148"/>
      <c r="H15" s="148"/>
      <c r="I15" s="148"/>
      <c r="J15" s="156"/>
      <c r="K15" s="117"/>
      <c r="M15" s="152"/>
      <c r="N15" s="148"/>
      <c r="O15" s="148"/>
      <c r="P15" s="148"/>
      <c r="Q15" s="148"/>
      <c r="R15" s="113"/>
      <c r="S15" s="155"/>
      <c r="T15" s="148"/>
      <c r="U15" s="157"/>
      <c r="V15" s="156"/>
      <c r="W15" s="103"/>
    </row>
    <row r="16" spans="1:23" ht="12.75">
      <c r="A16" s="152"/>
      <c r="B16" s="148"/>
      <c r="C16" s="148"/>
      <c r="D16" s="148"/>
      <c r="E16" s="148"/>
      <c r="F16" s="153" t="s">
        <v>79</v>
      </c>
      <c r="G16" s="12" t="s">
        <v>80</v>
      </c>
      <c r="H16" s="148"/>
      <c r="I16" s="148"/>
      <c r="J16" s="156"/>
      <c r="K16" s="117"/>
      <c r="M16" s="158">
        <v>2.5</v>
      </c>
      <c r="N16" s="12" t="s">
        <v>81</v>
      </c>
      <c r="O16" s="159">
        <v>1000000</v>
      </c>
      <c r="P16" s="12" t="s">
        <v>63</v>
      </c>
      <c r="Q16" s="153" t="s">
        <v>82</v>
      </c>
      <c r="R16" s="154" t="s">
        <v>83</v>
      </c>
      <c r="S16" s="155"/>
      <c r="T16" s="160">
        <f>(M16/O16)</f>
        <v>2.5E-06</v>
      </c>
      <c r="U16" s="161">
        <f>I18</f>
        <v>188272.4</v>
      </c>
      <c r="V16" s="162">
        <f aca="true" t="shared" si="0" ref="V16:V22">(+U16*T16)</f>
        <v>0.4707</v>
      </c>
      <c r="W16" s="163">
        <f>V16*C10/V$56</f>
        <v>0.0881</v>
      </c>
    </row>
    <row r="17" spans="1:23" ht="12.75">
      <c r="A17" s="152"/>
      <c r="B17" s="148"/>
      <c r="C17" s="148"/>
      <c r="D17" s="148"/>
      <c r="E17" s="148"/>
      <c r="F17" s="148"/>
      <c r="G17" s="148"/>
      <c r="H17" s="148"/>
      <c r="I17" s="148"/>
      <c r="J17" s="156"/>
      <c r="K17" s="117"/>
      <c r="M17" s="164">
        <v>30</v>
      </c>
      <c r="N17" s="12" t="s">
        <v>51</v>
      </c>
      <c r="O17" s="159" t="s">
        <v>84</v>
      </c>
      <c r="P17" s="165" t="s">
        <v>84</v>
      </c>
      <c r="Q17" s="153" t="s">
        <v>85</v>
      </c>
      <c r="R17" s="154" t="s">
        <v>86</v>
      </c>
      <c r="S17" s="155"/>
      <c r="T17" s="160">
        <f>(+M17/100)</f>
        <v>0.3</v>
      </c>
      <c r="U17" s="166">
        <f>V16</f>
        <v>0.4707</v>
      </c>
      <c r="V17" s="162">
        <f t="shared" si="0"/>
        <v>0.1412</v>
      </c>
      <c r="W17" s="163">
        <f>V17*C10/V$56</f>
        <v>0.0264</v>
      </c>
    </row>
    <row r="18" spans="1:23" ht="12.75">
      <c r="A18" s="167">
        <v>100</v>
      </c>
      <c r="B18" s="168" t="s">
        <v>51</v>
      </c>
      <c r="C18" s="255">
        <v>120</v>
      </c>
      <c r="D18" s="12" t="s">
        <v>87</v>
      </c>
      <c r="E18" s="170" t="s">
        <v>88</v>
      </c>
      <c r="F18" s="170" t="s">
        <v>89</v>
      </c>
      <c r="G18" s="170" t="s">
        <v>90</v>
      </c>
      <c r="H18" s="171">
        <f>(+A18/C18)/100</f>
        <v>0.0083333</v>
      </c>
      <c r="I18" s="169">
        <f>I20-(M18*U18)</f>
        <v>188272.4</v>
      </c>
      <c r="J18" s="172">
        <f>(H18*I18)</f>
        <v>1568.93</v>
      </c>
      <c r="K18" s="173">
        <f>J18/V$56</f>
        <v>0.0948</v>
      </c>
      <c r="M18" s="174">
        <v>6</v>
      </c>
      <c r="N18" s="12" t="s">
        <v>91</v>
      </c>
      <c r="O18" s="175">
        <v>80000</v>
      </c>
      <c r="P18" s="12" t="s">
        <v>63</v>
      </c>
      <c r="Q18" s="153" t="s">
        <v>92</v>
      </c>
      <c r="R18" s="116" t="s">
        <v>93</v>
      </c>
      <c r="S18" s="112"/>
      <c r="T18" s="160">
        <f>(+M18/O18)</f>
        <v>7.5E-05</v>
      </c>
      <c r="U18" s="255">
        <v>1454.6</v>
      </c>
      <c r="V18" s="162">
        <f t="shared" si="0"/>
        <v>0.1091</v>
      </c>
      <c r="W18" s="163">
        <f>V18*C10/V$56</f>
        <v>0.0204</v>
      </c>
    </row>
    <row r="19" spans="1:23" ht="12.75">
      <c r="A19" s="176">
        <f>A18</f>
        <v>100</v>
      </c>
      <c r="B19" s="12" t="s">
        <v>51</v>
      </c>
      <c r="C19" s="161">
        <f>C18</f>
        <v>120</v>
      </c>
      <c r="D19" s="12" t="s">
        <v>87</v>
      </c>
      <c r="E19" s="153" t="s">
        <v>88</v>
      </c>
      <c r="F19" s="153" t="s">
        <v>94</v>
      </c>
      <c r="G19" s="153" t="s">
        <v>95</v>
      </c>
      <c r="H19" s="160">
        <f>(+A19/C19)/100</f>
        <v>0.0083333</v>
      </c>
      <c r="I19" s="161">
        <f>I18*I8</f>
        <v>47068.1</v>
      </c>
      <c r="J19" s="172">
        <f>(H19*I19)</f>
        <v>392.23</v>
      </c>
      <c r="K19" s="173">
        <f aca="true" t="shared" si="1" ref="K19:K24">J19/V$56</f>
        <v>0.0237</v>
      </c>
      <c r="M19" s="174">
        <v>1</v>
      </c>
      <c r="N19" s="12" t="s">
        <v>97</v>
      </c>
      <c r="O19" s="237">
        <v>1.9</v>
      </c>
      <c r="P19" s="12" t="s">
        <v>63</v>
      </c>
      <c r="Q19" s="153" t="s">
        <v>98</v>
      </c>
      <c r="R19" s="116" t="s">
        <v>99</v>
      </c>
      <c r="S19" s="112"/>
      <c r="T19" s="160">
        <f>(+M19/O19)</f>
        <v>0.5263158</v>
      </c>
      <c r="U19" s="255">
        <v>2.95</v>
      </c>
      <c r="V19" s="162">
        <f t="shared" si="0"/>
        <v>1.5526</v>
      </c>
      <c r="W19" s="163">
        <f>V19*C10/V$56</f>
        <v>0.2907</v>
      </c>
    </row>
    <row r="20" spans="1:23" ht="12.75">
      <c r="A20" s="766">
        <v>12</v>
      </c>
      <c r="B20" s="168" t="s">
        <v>51</v>
      </c>
      <c r="C20" s="169">
        <v>12</v>
      </c>
      <c r="D20" s="12" t="s">
        <v>87</v>
      </c>
      <c r="E20" s="170" t="s">
        <v>88</v>
      </c>
      <c r="F20" s="170" t="s">
        <v>100</v>
      </c>
      <c r="G20" s="170" t="s">
        <v>101</v>
      </c>
      <c r="H20" s="171">
        <f>(+A20/C20)/100</f>
        <v>0.01</v>
      </c>
      <c r="I20" s="255">
        <v>197000</v>
      </c>
      <c r="J20" s="172">
        <f>(H20*I20)</f>
        <v>1970</v>
      </c>
      <c r="K20" s="173">
        <f t="shared" si="1"/>
        <v>0.119</v>
      </c>
      <c r="M20" s="174">
        <v>19.5</v>
      </c>
      <c r="N20" s="12" t="s">
        <v>97</v>
      </c>
      <c r="O20" s="159">
        <v>7500</v>
      </c>
      <c r="P20" s="12" t="s">
        <v>63</v>
      </c>
      <c r="Q20" s="153" t="s">
        <v>102</v>
      </c>
      <c r="R20" s="154" t="s">
        <v>103</v>
      </c>
      <c r="S20" s="155"/>
      <c r="T20" s="160">
        <f>(+M20/O20)</f>
        <v>0.0026</v>
      </c>
      <c r="U20" s="255">
        <v>25</v>
      </c>
      <c r="V20" s="162">
        <f t="shared" si="0"/>
        <v>0.065</v>
      </c>
      <c r="W20" s="163">
        <f>V20*C10/V$56</f>
        <v>0.0122</v>
      </c>
    </row>
    <row r="21" spans="1:23" ht="12.75">
      <c r="A21" s="176">
        <f>A20</f>
        <v>12</v>
      </c>
      <c r="B21" s="12" t="s">
        <v>51</v>
      </c>
      <c r="C21" s="161">
        <f>C20</f>
        <v>12</v>
      </c>
      <c r="D21" s="12" t="s">
        <v>87</v>
      </c>
      <c r="E21" s="153" t="s">
        <v>88</v>
      </c>
      <c r="F21" s="153" t="s">
        <v>104</v>
      </c>
      <c r="G21" s="153" t="s">
        <v>105</v>
      </c>
      <c r="H21" s="160">
        <f>(+A21/C21)/100</f>
        <v>0.01</v>
      </c>
      <c r="I21" s="169">
        <f>I20*I8</f>
        <v>49250</v>
      </c>
      <c r="J21" s="172">
        <f>(H21*I21)</f>
        <v>492.5</v>
      </c>
      <c r="K21" s="173">
        <f t="shared" si="1"/>
        <v>0.0297</v>
      </c>
      <c r="M21" s="174">
        <v>9</v>
      </c>
      <c r="N21" s="12" t="s">
        <v>97</v>
      </c>
      <c r="O21" s="159">
        <v>30000</v>
      </c>
      <c r="P21" s="12" t="s">
        <v>63</v>
      </c>
      <c r="Q21" s="153" t="s">
        <v>106</v>
      </c>
      <c r="R21" s="154" t="s">
        <v>107</v>
      </c>
      <c r="S21" s="155"/>
      <c r="T21" s="160">
        <f>(+M21/O21)</f>
        <v>0.0003</v>
      </c>
      <c r="U21" s="255">
        <v>30</v>
      </c>
      <c r="V21" s="162">
        <f t="shared" si="0"/>
        <v>0.009</v>
      </c>
      <c r="W21" s="163">
        <f>V21*C10/V$56</f>
        <v>0.0017</v>
      </c>
    </row>
    <row r="22" spans="1:28" ht="12.75">
      <c r="A22" s="176">
        <v>1</v>
      </c>
      <c r="B22" s="12" t="s">
        <v>108</v>
      </c>
      <c r="C22" s="161">
        <v>12</v>
      </c>
      <c r="D22" s="12" t="s">
        <v>87</v>
      </c>
      <c r="E22" s="153" t="s">
        <v>88</v>
      </c>
      <c r="F22" s="153" t="s">
        <v>109</v>
      </c>
      <c r="G22" s="153" t="s">
        <v>110</v>
      </c>
      <c r="H22" s="160">
        <f>A22/C22</f>
        <v>0.0833333</v>
      </c>
      <c r="I22" s="169">
        <v>77</v>
      </c>
      <c r="J22" s="177">
        <f>(I22*H22)</f>
        <v>6.42</v>
      </c>
      <c r="K22" s="173">
        <f t="shared" si="1"/>
        <v>0.0004</v>
      </c>
      <c r="M22" s="174">
        <v>1</v>
      </c>
      <c r="N22" s="12" t="s">
        <v>91</v>
      </c>
      <c r="O22" s="159">
        <v>750</v>
      </c>
      <c r="P22" s="12" t="s">
        <v>63</v>
      </c>
      <c r="Q22" s="153" t="s">
        <v>111</v>
      </c>
      <c r="R22" s="154" t="s">
        <v>112</v>
      </c>
      <c r="S22" s="155"/>
      <c r="T22" s="160">
        <f>(+M22/O22)</f>
        <v>0.0013333</v>
      </c>
      <c r="U22" s="255">
        <v>200</v>
      </c>
      <c r="V22" s="162">
        <f t="shared" si="0"/>
        <v>0.2667</v>
      </c>
      <c r="W22" s="163">
        <f>V22*C10/V$56</f>
        <v>0.0499</v>
      </c>
      <c r="AB22" s="1">
        <f>(95000+96300+79000)/3</f>
        <v>90100</v>
      </c>
    </row>
    <row r="23" spans="1:28" ht="12.75">
      <c r="A23" s="176">
        <v>1</v>
      </c>
      <c r="B23" s="12" t="s">
        <v>108</v>
      </c>
      <c r="C23" s="161">
        <v>12</v>
      </c>
      <c r="D23" s="12" t="s">
        <v>87</v>
      </c>
      <c r="E23" s="153" t="s">
        <v>88</v>
      </c>
      <c r="F23" s="153" t="s">
        <v>113</v>
      </c>
      <c r="G23" s="153" t="s">
        <v>114</v>
      </c>
      <c r="H23" s="160">
        <f>A23/C23</f>
        <v>0.0833333</v>
      </c>
      <c r="I23" s="169">
        <v>1450</v>
      </c>
      <c r="J23" s="177">
        <f>(I23*H23)</f>
        <v>120.83</v>
      </c>
      <c r="K23" s="173">
        <f t="shared" si="1"/>
        <v>0.0073</v>
      </c>
      <c r="M23" s="174"/>
      <c r="N23" s="148"/>
      <c r="O23" s="159"/>
      <c r="P23" s="148"/>
      <c r="Q23" s="148"/>
      <c r="R23" s="113"/>
      <c r="S23" s="155"/>
      <c r="T23" s="179"/>
      <c r="U23" s="161"/>
      <c r="V23" s="162"/>
      <c r="W23" s="146"/>
      <c r="AB23" s="1">
        <f>(105000+143000)/2</f>
        <v>124000</v>
      </c>
    </row>
    <row r="24" spans="1:23" ht="12.75">
      <c r="A24" s="176">
        <v>2</v>
      </c>
      <c r="B24" s="12" t="s">
        <v>115</v>
      </c>
      <c r="C24" s="161">
        <v>12</v>
      </c>
      <c r="D24" s="12" t="s">
        <v>87</v>
      </c>
      <c r="E24" s="153" t="s">
        <v>88</v>
      </c>
      <c r="F24" s="153" t="s">
        <v>116</v>
      </c>
      <c r="G24" s="153" t="s">
        <v>493</v>
      </c>
      <c r="H24" s="160">
        <f>1/12</f>
        <v>0.0833333</v>
      </c>
      <c r="I24" s="161">
        <f>(+I20*A24)/100</f>
        <v>3940</v>
      </c>
      <c r="J24" s="177">
        <f>(I24*H24)</f>
        <v>328.33</v>
      </c>
      <c r="K24" s="173">
        <f t="shared" si="1"/>
        <v>0.0198</v>
      </c>
      <c r="M24" s="294"/>
      <c r="N24" s="142"/>
      <c r="O24" s="144"/>
      <c r="P24" s="142"/>
      <c r="Q24" s="223" t="s">
        <v>118</v>
      </c>
      <c r="R24" s="218" t="s">
        <v>119</v>
      </c>
      <c r="S24" s="219"/>
      <c r="T24" s="220"/>
      <c r="U24" s="221"/>
      <c r="V24" s="243">
        <f>SUM(V16:V22)</f>
        <v>2.6143</v>
      </c>
      <c r="W24" s="184">
        <f>V24*C10/V$56</f>
        <v>0.4895</v>
      </c>
    </row>
    <row r="25" spans="1:28" ht="12.75">
      <c r="A25" s="185"/>
      <c r="B25" s="148"/>
      <c r="C25" s="161"/>
      <c r="D25" s="148"/>
      <c r="E25" s="148"/>
      <c r="F25" s="148"/>
      <c r="G25" s="148"/>
      <c r="H25" s="186"/>
      <c r="I25" s="179"/>
      <c r="J25" s="187"/>
      <c r="K25" s="117"/>
      <c r="M25" s="152"/>
      <c r="N25" s="148"/>
      <c r="O25" s="148"/>
      <c r="P25" s="148"/>
      <c r="Q25" s="295"/>
      <c r="R25" s="155"/>
      <c r="S25" s="155"/>
      <c r="T25" s="148"/>
      <c r="U25" s="157"/>
      <c r="V25" s="296"/>
      <c r="W25" s="103"/>
      <c r="AB25" s="1">
        <f>SUM(AB22:AB24)</f>
        <v>214100</v>
      </c>
    </row>
    <row r="26" spans="1:23" ht="12.75">
      <c r="A26" s="185"/>
      <c r="B26" s="148"/>
      <c r="C26" s="161"/>
      <c r="D26" s="148"/>
      <c r="E26" s="148"/>
      <c r="F26" s="153" t="s">
        <v>120</v>
      </c>
      <c r="G26" s="153" t="s">
        <v>121</v>
      </c>
      <c r="H26" s="186"/>
      <c r="I26" s="179"/>
      <c r="J26" s="177">
        <f>SUM(J18:J24)</f>
        <v>4879.24</v>
      </c>
      <c r="K26" s="192"/>
      <c r="M26" s="26"/>
      <c r="N26" s="25"/>
      <c r="O26" s="25"/>
      <c r="P26" s="25"/>
      <c r="Q26" s="25"/>
      <c r="R26" s="194"/>
      <c r="S26" s="194"/>
      <c r="T26" s="25"/>
      <c r="U26" s="25"/>
      <c r="V26" s="297"/>
      <c r="W26" s="103"/>
    </row>
    <row r="27" spans="1:23" ht="12.75">
      <c r="A27" s="176">
        <v>100</v>
      </c>
      <c r="B27" s="12" t="s">
        <v>51</v>
      </c>
      <c r="C27" s="161">
        <v>1</v>
      </c>
      <c r="D27" s="12" t="s">
        <v>87</v>
      </c>
      <c r="E27" s="153" t="s">
        <v>88</v>
      </c>
      <c r="F27" s="148"/>
      <c r="G27" s="12" t="s">
        <v>122</v>
      </c>
      <c r="H27" s="195">
        <f>(+A27/C27)/100</f>
        <v>1</v>
      </c>
      <c r="I27" s="161"/>
      <c r="J27" s="177">
        <f>J26*H27</f>
        <v>4879.24</v>
      </c>
      <c r="K27" s="196">
        <f>J27/V$56</f>
        <v>0.2947</v>
      </c>
      <c r="M27" s="152"/>
      <c r="N27" s="148"/>
      <c r="O27" s="148"/>
      <c r="P27" s="148"/>
      <c r="Q27" s="148"/>
      <c r="R27" s="113"/>
      <c r="S27" s="113"/>
      <c r="T27" s="148"/>
      <c r="U27" s="157"/>
      <c r="V27" s="298"/>
      <c r="W27" s="103"/>
    </row>
    <row r="28" spans="1:23" ht="12.75">
      <c r="A28" s="185"/>
      <c r="B28" s="148"/>
      <c r="C28" s="161"/>
      <c r="D28" s="148"/>
      <c r="E28" s="148"/>
      <c r="F28" s="148"/>
      <c r="G28" s="148"/>
      <c r="H28" s="195"/>
      <c r="I28" s="161"/>
      <c r="J28" s="177"/>
      <c r="K28" s="192"/>
      <c r="M28" s="141"/>
      <c r="N28" s="142"/>
      <c r="O28" s="142"/>
      <c r="P28" s="142"/>
      <c r="Q28" s="142"/>
      <c r="R28" s="126"/>
      <c r="S28" s="126"/>
      <c r="T28" s="142"/>
      <c r="U28" s="299"/>
      <c r="V28" s="300"/>
      <c r="W28" s="103"/>
    </row>
    <row r="29" spans="1:23" ht="12.75">
      <c r="A29" s="185"/>
      <c r="B29" s="148"/>
      <c r="C29" s="161"/>
      <c r="D29" s="148"/>
      <c r="E29" s="169"/>
      <c r="F29" s="170"/>
      <c r="G29" s="170"/>
      <c r="H29" s="199"/>
      <c r="I29" s="200"/>
      <c r="J29" s="172"/>
      <c r="K29" s="173"/>
      <c r="M29" s="197"/>
      <c r="N29" s="113"/>
      <c r="O29" s="113"/>
      <c r="P29" s="113"/>
      <c r="Q29" s="113"/>
      <c r="R29" s="113"/>
      <c r="S29" s="113"/>
      <c r="T29" s="113"/>
      <c r="U29" s="127"/>
      <c r="V29" s="127"/>
      <c r="W29" s="103"/>
    </row>
    <row r="30" spans="1:23" ht="12.75">
      <c r="A30" s="167">
        <v>2</v>
      </c>
      <c r="B30" s="168" t="s">
        <v>123</v>
      </c>
      <c r="C30" s="175">
        <f>C10</f>
        <v>3100</v>
      </c>
      <c r="D30" s="168" t="s">
        <v>124</v>
      </c>
      <c r="E30" s="201">
        <f>(+C30*H30)</f>
        <v>62</v>
      </c>
      <c r="F30" s="170" t="s">
        <v>125</v>
      </c>
      <c r="G30" s="202" t="s">
        <v>126</v>
      </c>
      <c r="H30" s="199">
        <f>(+A30/100)</f>
        <v>0.02</v>
      </c>
      <c r="I30" s="203">
        <f>V24</f>
        <v>2.6143</v>
      </c>
      <c r="J30" s="172">
        <f>(+E30*I30)</f>
        <v>162.09</v>
      </c>
      <c r="K30" s="173">
        <f>J30/V$56</f>
        <v>0.0098</v>
      </c>
      <c r="M30" s="101"/>
      <c r="N30" s="102"/>
      <c r="O30" s="102"/>
      <c r="P30" s="102"/>
      <c r="Q30" s="102"/>
      <c r="R30" s="102"/>
      <c r="S30" s="102"/>
      <c r="T30" s="102"/>
      <c r="U30" s="102"/>
      <c r="V30" s="102"/>
      <c r="W30" s="103"/>
    </row>
    <row r="31" spans="1:23" ht="12.75">
      <c r="A31" s="174"/>
      <c r="B31" s="12"/>
      <c r="C31" s="161"/>
      <c r="D31" s="153"/>
      <c r="E31" s="12"/>
      <c r="F31" s="153"/>
      <c r="G31" s="153"/>
      <c r="H31" s="195"/>
      <c r="I31" s="161"/>
      <c r="J31" s="177"/>
      <c r="K31" s="173"/>
      <c r="M31" s="301"/>
      <c r="N31" s="302"/>
      <c r="O31" s="302"/>
      <c r="P31" s="302"/>
      <c r="Q31" s="303"/>
      <c r="R31" s="302"/>
      <c r="S31" s="302"/>
      <c r="T31" s="302"/>
      <c r="U31" s="304"/>
      <c r="V31" s="302"/>
      <c r="W31" s="93"/>
    </row>
    <row r="32" spans="1:23" ht="20.25">
      <c r="A32" s="174"/>
      <c r="B32" s="148"/>
      <c r="C32" s="161"/>
      <c r="D32" s="148"/>
      <c r="E32" s="148"/>
      <c r="F32" s="170" t="s">
        <v>132</v>
      </c>
      <c r="G32" s="148" t="s">
        <v>445</v>
      </c>
      <c r="H32" s="186"/>
      <c r="I32" s="157"/>
      <c r="J32" s="177">
        <f>SUM(J27:J30)</f>
        <v>5041.33</v>
      </c>
      <c r="K32" s="173"/>
      <c r="M32" s="94" t="s">
        <v>127</v>
      </c>
      <c r="N32" s="95"/>
      <c r="O32" s="95"/>
      <c r="P32" s="95"/>
      <c r="Q32" s="95"/>
      <c r="R32" s="95"/>
      <c r="S32" s="95"/>
      <c r="T32" s="95"/>
      <c r="U32" s="95"/>
      <c r="V32" s="208"/>
      <c r="W32" s="93"/>
    </row>
    <row r="33" spans="1:23" ht="12.75">
      <c r="A33" s="174"/>
      <c r="B33" s="148"/>
      <c r="C33" s="161"/>
      <c r="D33" s="148"/>
      <c r="E33" s="424"/>
      <c r="F33" s="170"/>
      <c r="G33" s="170"/>
      <c r="H33" s="423"/>
      <c r="I33" s="428"/>
      <c r="J33" s="425"/>
      <c r="K33" s="173"/>
      <c r="M33" s="209"/>
      <c r="N33" s="210"/>
      <c r="O33" s="210"/>
      <c r="P33" s="210"/>
      <c r="Q33" s="210"/>
      <c r="R33" s="210"/>
      <c r="S33" s="210"/>
      <c r="T33" s="210"/>
      <c r="U33" s="210"/>
      <c r="V33" s="210"/>
      <c r="W33" s="93"/>
    </row>
    <row r="34" spans="1:23" ht="12.75">
      <c r="A34" s="760">
        <v>2.5</v>
      </c>
      <c r="B34" s="168" t="s">
        <v>198</v>
      </c>
      <c r="C34" s="161"/>
      <c r="D34" s="12"/>
      <c r="E34" s="424"/>
      <c r="F34" s="170" t="s">
        <v>449</v>
      </c>
      <c r="G34" s="226" t="s">
        <v>448</v>
      </c>
      <c r="H34" s="160">
        <f>A34/100</f>
        <v>0.025</v>
      </c>
      <c r="I34" s="246">
        <f>J32</f>
        <v>5041.33</v>
      </c>
      <c r="J34" s="172">
        <f>H34*I34</f>
        <v>126.03</v>
      </c>
      <c r="K34" s="173"/>
      <c r="M34" s="188"/>
      <c r="N34" s="106"/>
      <c r="O34" s="133"/>
      <c r="P34" s="133"/>
      <c r="Q34" s="133"/>
      <c r="R34" s="136"/>
      <c r="S34" s="134"/>
      <c r="T34" s="133"/>
      <c r="U34" s="135" t="s">
        <v>64</v>
      </c>
      <c r="V34" s="211"/>
      <c r="W34" s="93"/>
    </row>
    <row r="35" spans="1:23" ht="12.75">
      <c r="A35" s="101"/>
      <c r="B35" s="212"/>
      <c r="C35" s="212"/>
      <c r="D35" s="212"/>
      <c r="E35" s="212"/>
      <c r="F35" s="212"/>
      <c r="G35" s="212"/>
      <c r="H35" s="213"/>
      <c r="I35" s="214"/>
      <c r="J35" s="214"/>
      <c r="K35" s="93"/>
      <c r="M35" s="197"/>
      <c r="N35" s="113"/>
      <c r="O35" s="12" t="s">
        <v>75</v>
      </c>
      <c r="P35" s="12" t="s">
        <v>67</v>
      </c>
      <c r="Q35" s="12" t="s">
        <v>69</v>
      </c>
      <c r="R35" s="815" t="s">
        <v>128</v>
      </c>
      <c r="S35" s="816"/>
      <c r="T35" s="12" t="s">
        <v>71</v>
      </c>
      <c r="U35" s="12" t="s">
        <v>72</v>
      </c>
      <c r="V35" s="177" t="s">
        <v>129</v>
      </c>
      <c r="W35" s="215"/>
    </row>
    <row r="36" spans="1:23" ht="12.75">
      <c r="A36" s="101"/>
      <c r="B36" s="212"/>
      <c r="C36" s="212"/>
      <c r="D36" s="212"/>
      <c r="E36" s="212"/>
      <c r="F36" s="212"/>
      <c r="G36" s="212"/>
      <c r="H36" s="213"/>
      <c r="I36" s="214"/>
      <c r="J36" s="214"/>
      <c r="K36" s="93"/>
      <c r="M36" s="209"/>
      <c r="N36" s="210"/>
      <c r="O36" s="150"/>
      <c r="P36" s="150"/>
      <c r="Q36" s="150"/>
      <c r="R36" s="151"/>
      <c r="S36" s="217"/>
      <c r="T36" s="150"/>
      <c r="U36" s="144" t="s">
        <v>74</v>
      </c>
      <c r="V36" s="151"/>
      <c r="W36" s="103"/>
    </row>
    <row r="37" spans="1:23" ht="12.75">
      <c r="A37" s="152"/>
      <c r="B37" s="148"/>
      <c r="C37" s="179"/>
      <c r="D37" s="148"/>
      <c r="E37" s="148"/>
      <c r="F37" s="148"/>
      <c r="G37" s="148"/>
      <c r="H37" s="148"/>
      <c r="I37" s="179"/>
      <c r="J37" s="187"/>
      <c r="K37" s="173"/>
      <c r="M37" s="197"/>
      <c r="N37" s="113"/>
      <c r="O37" s="148"/>
      <c r="P37" s="133"/>
      <c r="Q37" s="154" t="s">
        <v>130</v>
      </c>
      <c r="R37" s="218" t="s">
        <v>131</v>
      </c>
      <c r="S37" s="219"/>
      <c r="T37" s="220"/>
      <c r="U37" s="221"/>
      <c r="V37" s="39" t="s">
        <v>73</v>
      </c>
      <c r="W37" s="222"/>
    </row>
    <row r="38" spans="1:23" ht="12.75">
      <c r="A38" s="141"/>
      <c r="B38" s="142"/>
      <c r="C38" s="144"/>
      <c r="D38" s="142"/>
      <c r="E38" s="142"/>
      <c r="F38" s="223" t="s">
        <v>203</v>
      </c>
      <c r="G38" s="218" t="s">
        <v>450</v>
      </c>
      <c r="H38" s="224"/>
      <c r="I38" s="224"/>
      <c r="J38" s="225">
        <f>SUM(J32:J34)</f>
        <v>5167.36</v>
      </c>
      <c r="K38" s="196">
        <f>J38/V$56</f>
        <v>0.3121</v>
      </c>
      <c r="M38" s="197"/>
      <c r="N38" s="113"/>
      <c r="O38" s="148"/>
      <c r="P38" s="148"/>
      <c r="Q38" s="154" t="s">
        <v>133</v>
      </c>
      <c r="R38" s="226" t="s">
        <v>134</v>
      </c>
      <c r="S38" s="227"/>
      <c r="T38" s="179"/>
      <c r="U38" s="166">
        <f>V24</f>
        <v>2.6143</v>
      </c>
      <c r="V38" s="162">
        <f>$V$24</f>
        <v>2.6143</v>
      </c>
      <c r="W38" s="103"/>
    </row>
    <row r="39" spans="1:23" ht="12.75">
      <c r="A39" s="197"/>
      <c r="B39" s="113"/>
      <c r="C39" s="113"/>
      <c r="D39" s="113"/>
      <c r="E39" s="113"/>
      <c r="F39" s="154"/>
      <c r="G39" s="154"/>
      <c r="H39" s="154"/>
      <c r="I39" s="154"/>
      <c r="J39" s="127"/>
      <c r="K39" s="228"/>
      <c r="M39" s="197"/>
      <c r="N39" s="113"/>
      <c r="O39" s="161"/>
      <c r="P39" s="12"/>
      <c r="Q39" s="154"/>
      <c r="R39" s="226"/>
      <c r="S39" s="227"/>
      <c r="T39" s="160"/>
      <c r="U39" s="179"/>
      <c r="V39" s="162"/>
      <c r="W39" s="163"/>
    </row>
    <row r="40" spans="1:23" ht="20.25">
      <c r="A40" s="229" t="s">
        <v>136</v>
      </c>
      <c r="B40" s="230"/>
      <c r="C40" s="230"/>
      <c r="D40" s="230"/>
      <c r="E40" s="230"/>
      <c r="F40" s="230"/>
      <c r="G40" s="230"/>
      <c r="H40" s="230"/>
      <c r="I40" s="230"/>
      <c r="J40" s="230"/>
      <c r="K40" s="192"/>
      <c r="M40" s="197"/>
      <c r="N40" s="113"/>
      <c r="O40" s="161">
        <f>C47</f>
        <v>5.5</v>
      </c>
      <c r="P40" s="12" t="s">
        <v>51</v>
      </c>
      <c r="Q40" s="154" t="s">
        <v>135</v>
      </c>
      <c r="R40" s="226" t="s">
        <v>138</v>
      </c>
      <c r="S40" s="227"/>
      <c r="T40" s="160">
        <f>(+O40/100)</f>
        <v>0.055</v>
      </c>
      <c r="U40" s="179"/>
      <c r="V40" s="162">
        <f>(+V38*T40)</f>
        <v>0.1438</v>
      </c>
      <c r="W40" s="163">
        <f>V40*C10/V$56</f>
        <v>0.0269</v>
      </c>
    </row>
    <row r="41" spans="1:23" ht="20.25">
      <c r="A41" s="197"/>
      <c r="B41" s="113"/>
      <c r="C41" s="113"/>
      <c r="D41" s="113"/>
      <c r="E41" s="113"/>
      <c r="F41" s="113"/>
      <c r="G41" s="155"/>
      <c r="H41" s="113"/>
      <c r="I41" s="113"/>
      <c r="J41" s="113"/>
      <c r="K41" s="97"/>
      <c r="M41" s="197"/>
      <c r="N41" s="113"/>
      <c r="O41" s="161" t="s">
        <v>139</v>
      </c>
      <c r="P41" s="148"/>
      <c r="Q41" s="154" t="s">
        <v>137</v>
      </c>
      <c r="R41" s="226" t="s">
        <v>418</v>
      </c>
      <c r="S41" s="227"/>
      <c r="T41" s="179"/>
      <c r="U41" s="179"/>
      <c r="V41" s="162">
        <f>SUM(V38:V40)</f>
        <v>2.7581</v>
      </c>
      <c r="W41" s="163"/>
    </row>
    <row r="42" spans="1:23" ht="12.75">
      <c r="A42" s="188"/>
      <c r="B42" s="134"/>
      <c r="C42" s="133"/>
      <c r="D42" s="133"/>
      <c r="E42" s="133"/>
      <c r="F42" s="231"/>
      <c r="G42" s="182"/>
      <c r="H42" s="15"/>
      <c r="I42" s="135" t="s">
        <v>64</v>
      </c>
      <c r="J42" s="136"/>
      <c r="K42" s="117"/>
      <c r="M42" s="197"/>
      <c r="N42" s="113"/>
      <c r="O42" s="161">
        <f>C50</f>
        <v>0</v>
      </c>
      <c r="P42" s="12" t="s">
        <v>51</v>
      </c>
      <c r="Q42" s="154" t="s">
        <v>140</v>
      </c>
      <c r="R42" s="226" t="s">
        <v>142</v>
      </c>
      <c r="S42" s="227"/>
      <c r="T42" s="160">
        <f>(+O42/100)</f>
        <v>0</v>
      </c>
      <c r="U42" s="232">
        <f>V41</f>
        <v>2.7581</v>
      </c>
      <c r="V42" s="162">
        <f>(+V41*T42)</f>
        <v>0</v>
      </c>
      <c r="W42" s="163">
        <f>V42*C10/V$56</f>
        <v>0</v>
      </c>
    </row>
    <row r="43" spans="1:23" ht="12.75">
      <c r="A43" s="197"/>
      <c r="B43" s="233"/>
      <c r="C43" s="12" t="s">
        <v>75</v>
      </c>
      <c r="D43" s="12" t="s">
        <v>67</v>
      </c>
      <c r="E43" s="12" t="s">
        <v>69</v>
      </c>
      <c r="F43" s="815" t="s">
        <v>70</v>
      </c>
      <c r="G43" s="816"/>
      <c r="H43" s="12" t="s">
        <v>71</v>
      </c>
      <c r="I43" s="12" t="s">
        <v>72</v>
      </c>
      <c r="J43" s="138" t="s">
        <v>73</v>
      </c>
      <c r="K43" s="117"/>
      <c r="M43" s="197"/>
      <c r="N43" s="113"/>
      <c r="O43" s="161" t="s">
        <v>139</v>
      </c>
      <c r="P43" s="148"/>
      <c r="Q43" s="154" t="s">
        <v>141</v>
      </c>
      <c r="R43" s="226" t="s">
        <v>419</v>
      </c>
      <c r="S43" s="227"/>
      <c r="T43" s="179"/>
      <c r="U43" s="179"/>
      <c r="V43" s="162">
        <f>SUM(V41:V42)</f>
        <v>2.7581</v>
      </c>
      <c r="W43" s="163"/>
    </row>
    <row r="44" spans="1:23" ht="12.75">
      <c r="A44" s="197"/>
      <c r="B44" s="233"/>
      <c r="C44" s="142"/>
      <c r="D44" s="142"/>
      <c r="E44" s="142"/>
      <c r="F44" s="145"/>
      <c r="G44" s="126"/>
      <c r="H44" s="150"/>
      <c r="I44" s="144" t="s">
        <v>74</v>
      </c>
      <c r="J44" s="145"/>
      <c r="K44" s="234"/>
      <c r="M44" s="197"/>
      <c r="N44" s="113"/>
      <c r="O44" s="161">
        <f>C53</f>
        <v>9</v>
      </c>
      <c r="P44" s="12" t="s">
        <v>51</v>
      </c>
      <c r="Q44" s="154" t="s">
        <v>143</v>
      </c>
      <c r="R44" s="226" t="s">
        <v>145</v>
      </c>
      <c r="S44" s="227"/>
      <c r="T44" s="160">
        <f>(+O44/100)</f>
        <v>0.09</v>
      </c>
      <c r="U44" s="232">
        <f>V43</f>
        <v>2.7581</v>
      </c>
      <c r="V44" s="162">
        <f>(+V43*T44)</f>
        <v>0.2482</v>
      </c>
      <c r="W44" s="163">
        <f>V44*C10/V$56</f>
        <v>0.0465</v>
      </c>
    </row>
    <row r="45" spans="1:23" ht="12.75">
      <c r="A45" s="197"/>
      <c r="B45" s="233"/>
      <c r="C45" s="148"/>
      <c r="D45" s="148"/>
      <c r="E45" s="153" t="s">
        <v>146</v>
      </c>
      <c r="F45" s="181" t="s">
        <v>176</v>
      </c>
      <c r="G45" s="106"/>
      <c r="H45" s="235"/>
      <c r="I45" s="161">
        <f>J38</f>
        <v>5167.36</v>
      </c>
      <c r="J45" s="236">
        <f>J38</f>
        <v>5167.36</v>
      </c>
      <c r="K45" s="117"/>
      <c r="M45" s="197"/>
      <c r="N45" s="113"/>
      <c r="O45" s="161" t="s">
        <v>139</v>
      </c>
      <c r="P45" s="148"/>
      <c r="Q45" s="154" t="s">
        <v>144</v>
      </c>
      <c r="R45" s="226" t="s">
        <v>420</v>
      </c>
      <c r="S45" s="227"/>
      <c r="T45" s="179"/>
      <c r="U45" s="179"/>
      <c r="V45" s="162">
        <f>SUM(V43:V44)</f>
        <v>3.0063</v>
      </c>
      <c r="W45" s="163"/>
    </row>
    <row r="46" spans="1:23" ht="12.75">
      <c r="A46" s="197"/>
      <c r="B46" s="233"/>
      <c r="C46" s="706"/>
      <c r="D46" s="12"/>
      <c r="E46" s="153"/>
      <c r="F46" s="226"/>
      <c r="G46" s="227"/>
      <c r="H46" s="160"/>
      <c r="I46" s="179"/>
      <c r="J46" s="177"/>
      <c r="K46" s="173"/>
      <c r="M46" s="197"/>
      <c r="N46" s="113"/>
      <c r="O46" s="161">
        <f>C56</f>
        <v>7.81</v>
      </c>
      <c r="P46" s="12" t="s">
        <v>51</v>
      </c>
      <c r="Q46" s="154" t="s">
        <v>150</v>
      </c>
      <c r="R46" s="226" t="s">
        <v>151</v>
      </c>
      <c r="S46" s="227"/>
      <c r="T46" s="160">
        <f>(+O46/100)</f>
        <v>0.0781</v>
      </c>
      <c r="U46" s="179"/>
      <c r="V46" s="162">
        <f>(+V48*T46)</f>
        <v>0.2547</v>
      </c>
      <c r="W46" s="163">
        <f>V46*C10/V$56</f>
        <v>0.0477</v>
      </c>
    </row>
    <row r="47" spans="1:23" ht="12.75">
      <c r="A47" s="197"/>
      <c r="B47" s="233"/>
      <c r="C47" s="237">
        <v>5.5</v>
      </c>
      <c r="D47" s="12" t="s">
        <v>51</v>
      </c>
      <c r="E47" s="153" t="s">
        <v>149</v>
      </c>
      <c r="F47" s="226" t="s">
        <v>138</v>
      </c>
      <c r="G47" s="227"/>
      <c r="H47" s="160">
        <f>(C47/100)</f>
        <v>0.055</v>
      </c>
      <c r="I47" s="179"/>
      <c r="J47" s="177">
        <f>(+J45*H47)</f>
        <v>284.2</v>
      </c>
      <c r="K47" s="173">
        <f>J47/V$56</f>
        <v>0.0172</v>
      </c>
      <c r="M47" s="197"/>
      <c r="N47" s="113"/>
      <c r="O47" s="161" t="s">
        <v>139</v>
      </c>
      <c r="P47" s="148"/>
      <c r="Q47" s="113"/>
      <c r="R47" s="156"/>
      <c r="S47" s="233"/>
      <c r="T47" s="179"/>
      <c r="U47" s="179"/>
      <c r="V47" s="162"/>
      <c r="W47" s="146"/>
    </row>
    <row r="48" spans="1:25" ht="12.75">
      <c r="A48" s="197"/>
      <c r="B48" s="233"/>
      <c r="C48" s="161" t="s">
        <v>139</v>
      </c>
      <c r="D48" s="148"/>
      <c r="E48" s="148"/>
      <c r="F48" s="156"/>
      <c r="G48" s="113"/>
      <c r="H48" s="160"/>
      <c r="I48" s="161"/>
      <c r="J48" s="177"/>
      <c r="K48" s="238"/>
      <c r="M48" s="239"/>
      <c r="N48" s="126"/>
      <c r="O48" s="240" t="s">
        <v>139</v>
      </c>
      <c r="P48" s="142"/>
      <c r="Q48" s="241" t="s">
        <v>148</v>
      </c>
      <c r="R48" s="218" t="s">
        <v>421</v>
      </c>
      <c r="S48" s="221"/>
      <c r="T48" s="242"/>
      <c r="U48" s="220"/>
      <c r="V48" s="243">
        <f>V45/(1-T46)</f>
        <v>3.261</v>
      </c>
      <c r="W48" s="244">
        <f>V48*C10/V$56</f>
        <v>0.6106</v>
      </c>
      <c r="Y48" s="178"/>
    </row>
    <row r="49" spans="1:23" ht="12.75">
      <c r="A49" s="197"/>
      <c r="B49" s="233"/>
      <c r="C49" s="245"/>
      <c r="D49" s="148"/>
      <c r="E49" s="153" t="s">
        <v>152</v>
      </c>
      <c r="F49" s="226" t="s">
        <v>424</v>
      </c>
      <c r="G49" s="113"/>
      <c r="H49" s="160"/>
      <c r="I49" s="179"/>
      <c r="J49" s="177">
        <f>SUM(J45:J47)</f>
        <v>5451.56</v>
      </c>
      <c r="K49" s="173"/>
      <c r="M49" s="193"/>
      <c r="N49" s="194"/>
      <c r="O49" s="194"/>
      <c r="P49" s="194"/>
      <c r="Q49" s="194"/>
      <c r="R49" s="194"/>
      <c r="S49" s="194"/>
      <c r="T49" s="194"/>
      <c r="U49" s="194"/>
      <c r="V49" s="194"/>
      <c r="W49" s="103"/>
    </row>
    <row r="50" spans="1:23" ht="12.75">
      <c r="A50" s="197"/>
      <c r="B50" s="233"/>
      <c r="C50" s="161">
        <v>0</v>
      </c>
      <c r="D50" s="12" t="s">
        <v>51</v>
      </c>
      <c r="E50" s="153" t="s">
        <v>154</v>
      </c>
      <c r="F50" s="226" t="s">
        <v>142</v>
      </c>
      <c r="G50" s="227"/>
      <c r="H50" s="160">
        <f>(C50/100)</f>
        <v>0</v>
      </c>
      <c r="I50" s="246">
        <f>J49</f>
        <v>5451.56</v>
      </c>
      <c r="J50" s="177">
        <f>(+J49*H50)</f>
        <v>0</v>
      </c>
      <c r="K50" s="173">
        <f>J50/V$56</f>
        <v>0</v>
      </c>
      <c r="M50" s="197"/>
      <c r="N50" s="113"/>
      <c r="O50" s="113"/>
      <c r="P50" s="113"/>
      <c r="Q50" s="113"/>
      <c r="R50" s="113"/>
      <c r="S50" s="113"/>
      <c r="T50" s="113"/>
      <c r="U50" s="113"/>
      <c r="V50" s="113"/>
      <c r="W50" s="103"/>
    </row>
    <row r="51" spans="1:23" ht="13.5" thickBot="1">
      <c r="A51" s="197"/>
      <c r="B51" s="233"/>
      <c r="C51" s="161" t="s">
        <v>139</v>
      </c>
      <c r="D51" s="148"/>
      <c r="E51" s="148"/>
      <c r="F51" s="156"/>
      <c r="G51" s="113"/>
      <c r="H51" s="160"/>
      <c r="I51" s="161"/>
      <c r="J51" s="177"/>
      <c r="K51" s="238"/>
      <c r="M51" s="197"/>
      <c r="N51" s="113"/>
      <c r="O51" s="113"/>
      <c r="P51" s="113"/>
      <c r="Q51" s="113"/>
      <c r="R51" s="113"/>
      <c r="S51" s="113"/>
      <c r="T51" s="113"/>
      <c r="U51" s="113"/>
      <c r="V51" s="113"/>
      <c r="W51" s="103"/>
    </row>
    <row r="52" spans="1:23" ht="20.25">
      <c r="A52" s="197"/>
      <c r="B52" s="233"/>
      <c r="C52" s="161" t="s">
        <v>139</v>
      </c>
      <c r="D52" s="148"/>
      <c r="E52" s="153" t="s">
        <v>155</v>
      </c>
      <c r="F52" s="226" t="s">
        <v>425</v>
      </c>
      <c r="G52" s="113"/>
      <c r="H52" s="160"/>
      <c r="I52" s="179"/>
      <c r="J52" s="177">
        <f>SUM(J49:J50)</f>
        <v>5451.56</v>
      </c>
      <c r="K52" s="238"/>
      <c r="M52" s="197"/>
      <c r="N52" s="113"/>
      <c r="O52" s="113"/>
      <c r="P52" s="113"/>
      <c r="Q52" s="247" t="s">
        <v>157</v>
      </c>
      <c r="R52" s="248"/>
      <c r="S52" s="248"/>
      <c r="T52" s="248"/>
      <c r="U52" s="248"/>
      <c r="V52" s="248"/>
      <c r="W52" s="103"/>
    </row>
    <row r="53" spans="1:23" ht="13.5" thickBot="1">
      <c r="A53" s="197"/>
      <c r="B53" s="233"/>
      <c r="C53" s="237">
        <v>9</v>
      </c>
      <c r="D53" s="12" t="s">
        <v>51</v>
      </c>
      <c r="E53" s="153" t="s">
        <v>156</v>
      </c>
      <c r="F53" s="226" t="s">
        <v>427</v>
      </c>
      <c r="G53" s="227"/>
      <c r="H53" s="160">
        <f>(C53/100)</f>
        <v>0.09</v>
      </c>
      <c r="I53" s="246">
        <f>J52</f>
        <v>5451.56</v>
      </c>
      <c r="J53" s="177">
        <f>(+J52*H53)</f>
        <v>490.64</v>
      </c>
      <c r="K53" s="173">
        <f>J53/V$56</f>
        <v>0.0296</v>
      </c>
      <c r="M53" s="197"/>
      <c r="N53" s="113"/>
      <c r="O53" s="113"/>
      <c r="P53" s="113"/>
      <c r="Q53" s="249"/>
      <c r="R53" s="250"/>
      <c r="S53" s="250"/>
      <c r="T53" s="250"/>
      <c r="U53" s="250"/>
      <c r="V53" s="250"/>
      <c r="W53" s="103"/>
    </row>
    <row r="54" spans="1:23" ht="13.5" thickBot="1">
      <c r="A54" s="197"/>
      <c r="B54" s="233"/>
      <c r="C54" s="161" t="s">
        <v>139</v>
      </c>
      <c r="D54" s="148"/>
      <c r="E54" s="148"/>
      <c r="F54" s="156"/>
      <c r="G54" s="113"/>
      <c r="H54" s="160"/>
      <c r="I54" s="179"/>
      <c r="J54" s="177"/>
      <c r="K54" s="238"/>
      <c r="M54" s="197"/>
      <c r="N54" s="113"/>
      <c r="O54" s="113"/>
      <c r="P54" s="113"/>
      <c r="Q54" s="731" t="s">
        <v>422</v>
      </c>
      <c r="R54" s="251" t="s">
        <v>431</v>
      </c>
      <c r="S54" s="252"/>
      <c r="T54" s="252"/>
      <c r="U54" s="252"/>
      <c r="V54" s="253">
        <f>C10*V48</f>
        <v>10109.1</v>
      </c>
      <c r="W54" s="254">
        <f>V54/V$56</f>
        <v>0.6106</v>
      </c>
    </row>
    <row r="55" spans="1:23" ht="13.5" thickBot="1">
      <c r="A55" s="197"/>
      <c r="B55" s="233"/>
      <c r="C55" s="161" t="s">
        <v>139</v>
      </c>
      <c r="D55" s="148"/>
      <c r="E55" s="153" t="s">
        <v>158</v>
      </c>
      <c r="F55" s="226" t="s">
        <v>162</v>
      </c>
      <c r="G55" s="113"/>
      <c r="H55" s="160"/>
      <c r="I55" s="179"/>
      <c r="J55" s="177">
        <f>SUM(J52:J53)</f>
        <v>5942.2</v>
      </c>
      <c r="K55" s="238"/>
      <c r="M55" s="197"/>
      <c r="N55" s="113"/>
      <c r="O55" s="113"/>
      <c r="P55" s="113"/>
      <c r="Q55" s="732" t="s">
        <v>159</v>
      </c>
      <c r="R55" s="154" t="s">
        <v>164</v>
      </c>
      <c r="S55" s="113"/>
      <c r="T55" s="113"/>
      <c r="U55" s="154"/>
      <c r="V55" s="127">
        <f>J58</f>
        <v>6445.6</v>
      </c>
      <c r="W55" s="254">
        <f>V55/V$56</f>
        <v>0.3894</v>
      </c>
    </row>
    <row r="56" spans="1:23" ht="16.5" thickBot="1">
      <c r="A56" s="197"/>
      <c r="B56" s="233"/>
      <c r="C56" s="255">
        <f>(15%*C53)+(9%*C53)+3.65+2</f>
        <v>7.81</v>
      </c>
      <c r="D56" s="12" t="s">
        <v>51</v>
      </c>
      <c r="E56" s="153" t="s">
        <v>165</v>
      </c>
      <c r="F56" s="226" t="s">
        <v>151</v>
      </c>
      <c r="G56" s="227"/>
      <c r="H56" s="160">
        <f>(C56/100)</f>
        <v>0.0781</v>
      </c>
      <c r="I56" s="179"/>
      <c r="J56" s="177">
        <f>(+J58*H56)</f>
        <v>503.4</v>
      </c>
      <c r="K56" s="173">
        <f>J56/V$56</f>
        <v>0.0304</v>
      </c>
      <c r="M56" s="197"/>
      <c r="N56" s="113"/>
      <c r="O56" s="113"/>
      <c r="P56" s="113"/>
      <c r="Q56" s="322" t="s">
        <v>163</v>
      </c>
      <c r="R56" s="323" t="s">
        <v>177</v>
      </c>
      <c r="S56" s="324"/>
      <c r="T56" s="324"/>
      <c r="U56" s="323"/>
      <c r="V56" s="325">
        <f>SUM(V54:V55)</f>
        <v>16554.7</v>
      </c>
      <c r="W56" s="254">
        <f>V56/V$56</f>
        <v>1</v>
      </c>
    </row>
    <row r="57" spans="1:23" ht="13.5" thickBot="1">
      <c r="A57" s="197"/>
      <c r="B57" s="233"/>
      <c r="C57" s="161" t="s">
        <v>139</v>
      </c>
      <c r="D57" s="148"/>
      <c r="E57" s="148"/>
      <c r="F57" s="156"/>
      <c r="G57" s="113"/>
      <c r="H57" s="179"/>
      <c r="I57" s="179"/>
      <c r="J57" s="177"/>
      <c r="K57" s="238"/>
      <c r="M57" s="197"/>
      <c r="N57" s="113"/>
      <c r="O57" s="113"/>
      <c r="P57" s="113"/>
      <c r="Q57" s="197"/>
      <c r="R57" s="113"/>
      <c r="S57" s="113"/>
      <c r="T57" s="113"/>
      <c r="U57" s="113"/>
      <c r="V57" s="155"/>
      <c r="W57" s="259"/>
    </row>
    <row r="58" spans="1:23" ht="19.5" thickBot="1">
      <c r="A58" s="260"/>
      <c r="B58" s="261"/>
      <c r="C58" s="262" t="s">
        <v>139</v>
      </c>
      <c r="D58" s="263"/>
      <c r="E58" s="264" t="s">
        <v>161</v>
      </c>
      <c r="F58" s="265" t="s">
        <v>426</v>
      </c>
      <c r="G58" s="266"/>
      <c r="H58" s="266"/>
      <c r="I58" s="266"/>
      <c r="J58" s="267">
        <f>J55/(1-H56)</f>
        <v>6445.6</v>
      </c>
      <c r="K58" s="268">
        <f>J58/V$56</f>
        <v>0.3894</v>
      </c>
      <c r="M58" s="260"/>
      <c r="N58" s="269"/>
      <c r="O58" s="269"/>
      <c r="P58" s="269"/>
      <c r="Q58" s="309" t="s">
        <v>168</v>
      </c>
      <c r="R58" s="310" t="s">
        <v>440</v>
      </c>
      <c r="S58" s="326"/>
      <c r="T58" s="326"/>
      <c r="U58" s="310"/>
      <c r="V58" s="327">
        <f>(V56*4)</f>
        <v>66218.8</v>
      </c>
      <c r="W58" s="328"/>
    </row>
    <row r="59" spans="13:23" ht="12.75">
      <c r="M59" s="329" t="s">
        <v>178</v>
      </c>
      <c r="N59" s="330"/>
      <c r="O59" s="330"/>
      <c r="P59" s="330"/>
      <c r="Q59" s="331">
        <v>110</v>
      </c>
      <c r="R59" s="332" t="s">
        <v>179</v>
      </c>
      <c r="S59" s="333"/>
      <c r="T59" s="333"/>
      <c r="U59" s="333"/>
      <c r="V59" s="333"/>
      <c r="W59" s="334"/>
    </row>
    <row r="60" spans="1:23" ht="15.75">
      <c r="A60" s="69" t="s">
        <v>169</v>
      </c>
      <c r="M60" s="335" t="s">
        <v>180</v>
      </c>
      <c r="N60" s="110"/>
      <c r="O60" s="110"/>
      <c r="P60" s="110"/>
      <c r="Q60" s="336">
        <v>26</v>
      </c>
      <c r="R60" s="337"/>
      <c r="S60" s="84"/>
      <c r="T60" s="84"/>
      <c r="U60" s="84"/>
      <c r="V60" s="84"/>
      <c r="W60" s="338"/>
    </row>
    <row r="61" spans="13:23" ht="13.5" thickBot="1">
      <c r="M61" s="364" t="s">
        <v>181</v>
      </c>
      <c r="N61" s="307"/>
      <c r="O61" s="307"/>
      <c r="P61" s="307"/>
      <c r="Q61" s="741">
        <f>Q59*Q60</f>
        <v>2860</v>
      </c>
      <c r="R61" s="742" t="s">
        <v>179</v>
      </c>
      <c r="S61" s="84"/>
      <c r="T61" s="84"/>
      <c r="U61" s="84"/>
      <c r="V61" s="84"/>
      <c r="W61" s="338"/>
    </row>
    <row r="62" spans="13:23" ht="13.5" thickBot="1">
      <c r="M62" s="745" t="s">
        <v>443</v>
      </c>
      <c r="N62" s="746"/>
      <c r="O62" s="746"/>
      <c r="P62" s="746"/>
      <c r="Q62" s="746"/>
      <c r="R62" s="365">
        <f>'Veículo Apoio Coleta Domiciliar'!V59</f>
        <v>1649.22</v>
      </c>
      <c r="S62" s="84"/>
      <c r="T62" s="84"/>
      <c r="U62" s="84"/>
      <c r="V62" s="84"/>
      <c r="W62" s="338"/>
    </row>
    <row r="63" spans="1:23" ht="21.75" customHeight="1" thickBot="1">
      <c r="A63" s="69" t="str">
        <f>'Trator de Esteira'!A61</f>
        <v>Patos de Minas-MG, 16 de Novembro de 2015.</v>
      </c>
      <c r="M63" s="745" t="s">
        <v>444</v>
      </c>
      <c r="N63" s="743"/>
      <c r="O63" s="743"/>
      <c r="P63" s="743"/>
      <c r="Q63" s="743"/>
      <c r="R63" s="744">
        <f>V58+R62</f>
        <v>67868.02</v>
      </c>
      <c r="S63" s="342" t="s">
        <v>182</v>
      </c>
      <c r="T63" s="343"/>
      <c r="U63" s="343"/>
      <c r="V63" s="344"/>
      <c r="W63" s="345">
        <f>(R63/Q61)-0.0009</f>
        <v>23.73</v>
      </c>
    </row>
    <row r="64" spans="7:19" ht="12">
      <c r="G64" s="13"/>
      <c r="S64" s="13"/>
    </row>
    <row r="65" spans="7:22" ht="15">
      <c r="G65" s="11"/>
      <c r="H65" s="11"/>
      <c r="I65" s="11"/>
      <c r="S65" s="11"/>
      <c r="V65" s="346"/>
    </row>
    <row r="68" ht="12">
      <c r="F68" s="347"/>
    </row>
    <row r="72" spans="1:10" ht="12">
      <c r="A72" s="275"/>
      <c r="B72" s="275"/>
      <c r="C72" s="275"/>
      <c r="D72" s="275"/>
      <c r="E72" s="275"/>
      <c r="F72" s="275"/>
      <c r="G72" s="275"/>
      <c r="H72" s="275"/>
      <c r="I72" s="275"/>
      <c r="J72" s="275"/>
    </row>
    <row r="96" ht="2.25" customHeight="1"/>
    <row r="97" ht="12.75" customHeight="1"/>
    <row r="98" ht="0.75" customHeight="1"/>
    <row r="123" spans="12:15" ht="12.75">
      <c r="L123" s="276"/>
      <c r="M123" s="277"/>
      <c r="N123" s="276"/>
      <c r="O123" s="277"/>
    </row>
    <row r="124" spans="12:15" ht="12.75">
      <c r="L124" s="276"/>
      <c r="M124" s="276"/>
      <c r="N124" s="276"/>
      <c r="O124" s="278"/>
    </row>
    <row r="125" spans="12:15" ht="12.75">
      <c r="L125" s="276"/>
      <c r="M125" s="276"/>
      <c r="N125" s="276"/>
      <c r="O125" s="278"/>
    </row>
    <row r="126" spans="12:15" ht="12.75">
      <c r="L126" s="276"/>
      <c r="M126" s="276"/>
      <c r="N126" s="276"/>
      <c r="O126" s="278"/>
    </row>
    <row r="127" spans="12:15" ht="12.75">
      <c r="L127" s="2"/>
      <c r="M127" s="2"/>
      <c r="N127" s="2"/>
      <c r="O127" s="279"/>
    </row>
    <row r="128" spans="1:11" ht="12.75">
      <c r="A128" s="276"/>
      <c r="B128" s="276"/>
      <c r="C128" s="276"/>
      <c r="D128" s="276"/>
      <c r="E128" s="280"/>
      <c r="F128" s="280"/>
      <c r="G128" s="280"/>
      <c r="H128" s="280"/>
      <c r="I128" s="280"/>
      <c r="J128" s="280"/>
      <c r="K128" s="280"/>
    </row>
    <row r="129" spans="1:12" ht="12.75">
      <c r="A129" s="276"/>
      <c r="B129" s="276"/>
      <c r="C129" s="276"/>
      <c r="D129" s="276"/>
      <c r="E129" s="276"/>
      <c r="F129" s="276"/>
      <c r="G129" s="276"/>
      <c r="H129" s="276"/>
      <c r="I129" s="276"/>
      <c r="J129" s="281"/>
      <c r="K129" s="281"/>
      <c r="L129" s="178"/>
    </row>
    <row r="130" spans="1:11" ht="12.7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</row>
    <row r="131" spans="1:11" ht="12.7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</row>
    <row r="132" spans="1:11" ht="12.7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</row>
    <row r="133" spans="1:11" ht="12.7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</row>
    <row r="134" spans="1:12" ht="12.75">
      <c r="A134" s="2"/>
      <c r="B134" s="2"/>
      <c r="C134" s="2"/>
      <c r="D134" s="2"/>
      <c r="E134" s="28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2"/>
      <c r="C135" s="2"/>
      <c r="D135" s="2"/>
      <c r="E135" s="283"/>
      <c r="F135" s="283"/>
      <c r="G135" s="283"/>
      <c r="H135" s="283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83"/>
      <c r="B137" s="283"/>
      <c r="C137" s="283"/>
      <c r="D137" s="283"/>
      <c r="E137" s="283"/>
      <c r="F137" s="283"/>
      <c r="G137" s="283"/>
      <c r="H137" s="283"/>
      <c r="I137" s="283"/>
      <c r="J137" s="283"/>
      <c r="K137" s="283"/>
      <c r="L137" s="4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5"/>
      <c r="C140" s="2"/>
      <c r="D140" s="279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1:12" ht="12.75">
      <c r="A143" s="2"/>
      <c r="B143" s="5"/>
      <c r="C143" s="2"/>
      <c r="D143" s="279"/>
      <c r="E143" s="2"/>
      <c r="F143" s="2"/>
      <c r="G143" s="2"/>
      <c r="H143" s="2"/>
      <c r="I143" s="2"/>
      <c r="J143" s="2"/>
      <c r="K143" s="2"/>
      <c r="L143" s="4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"/>
    </row>
    <row r="145" spans="1:12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">
      <c r="A146" s="4"/>
      <c r="B146" s="6"/>
      <c r="C146" s="4"/>
      <c r="D146" s="284"/>
      <c r="E146" s="4"/>
      <c r="F146" s="4"/>
      <c r="G146" s="4"/>
      <c r="H146" s="4"/>
      <c r="I146" s="4"/>
      <c r="J146" s="4"/>
      <c r="K146" s="4"/>
      <c r="L146" s="4"/>
    </row>
    <row r="147" spans="1:12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4"/>
    </row>
    <row r="150" spans="1:12" ht="12">
      <c r="A150" s="4"/>
      <c r="B150" s="4"/>
      <c r="C150" s="6"/>
      <c r="D150" s="4"/>
      <c r="E150" s="4"/>
      <c r="F150" s="4"/>
      <c r="G150" s="285"/>
      <c r="H150" s="285"/>
      <c r="L150" s="4"/>
    </row>
    <row r="151" spans="1:12" ht="12">
      <c r="A151" s="7"/>
      <c r="B151" s="7"/>
      <c r="C151" s="7"/>
      <c r="D151" s="7"/>
      <c r="E151" s="7"/>
      <c r="F151" s="7"/>
      <c r="G151" s="7"/>
      <c r="H151" s="7"/>
      <c r="L151" s="4"/>
    </row>
    <row r="152" spans="1:12" ht="12">
      <c r="A152" s="4"/>
      <c r="B152" s="4"/>
      <c r="C152" s="4"/>
      <c r="D152" s="4"/>
      <c r="E152" s="4"/>
      <c r="F152" s="4"/>
      <c r="G152" s="4"/>
      <c r="H152" s="4"/>
      <c r="L152" s="4"/>
    </row>
    <row r="153" spans="1:12" ht="12">
      <c r="A153" s="4"/>
      <c r="B153" s="4"/>
      <c r="C153" s="4"/>
      <c r="D153" s="4"/>
      <c r="E153" s="4"/>
      <c r="F153" s="4"/>
      <c r="G153" s="4"/>
      <c r="H153" s="4"/>
      <c r="L153" s="4"/>
    </row>
    <row r="154" spans="2:12" ht="12">
      <c r="B154" s="286"/>
      <c r="C154" s="287"/>
      <c r="G154" s="288"/>
      <c r="H154" s="287"/>
      <c r="L154" s="4"/>
    </row>
    <row r="155" spans="7:12" ht="12">
      <c r="G155" s="289"/>
      <c r="L155" s="4"/>
    </row>
    <row r="156" spans="7:12" ht="12">
      <c r="G156" s="289"/>
      <c r="L156" s="4"/>
    </row>
    <row r="157" spans="2:12" ht="12">
      <c r="B157" s="286"/>
      <c r="C157" s="287"/>
      <c r="G157" s="288"/>
      <c r="H157" s="287"/>
      <c r="L157" s="4"/>
    </row>
    <row r="158" spans="7:12" ht="12">
      <c r="G158" s="29"/>
      <c r="L158" s="4"/>
    </row>
    <row r="159" spans="7:12" ht="12">
      <c r="G159" s="29"/>
      <c r="L159" s="4"/>
    </row>
    <row r="160" spans="2:12" ht="12">
      <c r="B160" s="3"/>
      <c r="C160" s="290"/>
      <c r="G160" s="288"/>
      <c r="H160" s="287"/>
      <c r="L160" s="4"/>
    </row>
    <row r="161" spans="7:12" ht="12">
      <c r="G161" s="29"/>
      <c r="L161" s="4"/>
    </row>
    <row r="162" spans="7:12" ht="12">
      <c r="G162" s="29"/>
      <c r="L162" s="4"/>
    </row>
    <row r="163" spans="2:12" ht="12">
      <c r="B163" s="3"/>
      <c r="C163" s="291"/>
      <c r="G163" s="288"/>
      <c r="H163" s="292"/>
      <c r="L163" s="4"/>
    </row>
    <row r="164" spans="10:12" ht="12">
      <c r="J164" s="4"/>
      <c r="K164" s="4"/>
      <c r="L164" s="4"/>
    </row>
    <row r="165" spans="1:12" ht="12">
      <c r="A165" s="293"/>
      <c r="B165" s="293"/>
      <c r="C165" s="293"/>
      <c r="D165" s="293"/>
      <c r="E165" s="293"/>
      <c r="F165" s="293"/>
      <c r="G165" s="293"/>
      <c r="H165" s="293"/>
      <c r="I165" s="293"/>
      <c r="J165" s="7"/>
      <c r="K165" s="7"/>
      <c r="L165" s="4"/>
    </row>
    <row r="166" spans="10:12" ht="12">
      <c r="J166" s="4"/>
      <c r="K166" s="4"/>
      <c r="L166" s="4"/>
    </row>
    <row r="167" spans="2:12" ht="12">
      <c r="B167" s="286"/>
      <c r="D167" s="292"/>
      <c r="J167" s="4"/>
      <c r="K167" s="4"/>
      <c r="L167" s="4"/>
    </row>
    <row r="168" spans="10:12" ht="12">
      <c r="J168" s="4"/>
      <c r="K168" s="4"/>
      <c r="L168" s="4"/>
    </row>
    <row r="169" spans="1:12" ht="12">
      <c r="A169" s="293"/>
      <c r="B169" s="293"/>
      <c r="C169" s="293"/>
      <c r="D169" s="293"/>
      <c r="E169" s="293"/>
      <c r="F169" s="293"/>
      <c r="G169" s="293"/>
      <c r="H169" s="293"/>
      <c r="I169" s="293"/>
      <c r="J169" s="7"/>
      <c r="K169" s="7"/>
      <c r="L169" s="4"/>
    </row>
    <row r="170" spans="1:12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</sheetData>
  <sheetProtection password="F184" sheet="1"/>
  <mergeCells count="5">
    <mergeCell ref="F43:G43"/>
    <mergeCell ref="M1:W1"/>
    <mergeCell ref="A5:J5"/>
    <mergeCell ref="R11:S11"/>
    <mergeCell ref="R35:S35"/>
  </mergeCells>
  <printOptions horizontalCentered="1" verticalCentered="1"/>
  <pageMargins left="0" right="0" top="0.984251968503937" bottom="0.3937007874015748" header="0.5118110236220472" footer="0.31496062992125984"/>
  <pageSetup horizontalDpi="600" verticalDpi="600" orientation="landscape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173"/>
  <sheetViews>
    <sheetView zoomScalePageLayoutView="0" workbookViewId="0" topLeftCell="A10">
      <selection activeCell="E37" sqref="E37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2" width="11.00390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830" t="s">
        <v>183</v>
      </c>
      <c r="B1" s="831"/>
      <c r="C1" s="831"/>
      <c r="D1" s="831"/>
      <c r="E1" s="831"/>
      <c r="F1" s="831"/>
      <c r="G1" s="831"/>
      <c r="H1" s="831"/>
      <c r="I1" s="831"/>
      <c r="J1" s="831"/>
      <c r="K1" s="832"/>
      <c r="L1" s="84"/>
      <c r="M1" s="820" t="str">
        <f>A1</f>
        <v>CUSTO   DE   CAMINHÃO   PIPA   ATERRO   SANITÁRIO</v>
      </c>
      <c r="N1" s="821"/>
      <c r="O1" s="821"/>
      <c r="P1" s="821"/>
      <c r="Q1" s="821"/>
      <c r="R1" s="821"/>
      <c r="S1" s="821"/>
      <c r="T1" s="821"/>
      <c r="U1" s="821"/>
      <c r="V1" s="821"/>
      <c r="W1" s="822"/>
    </row>
    <row r="2" spans="1:23" ht="20.25">
      <c r="A2" s="85" t="s">
        <v>49</v>
      </c>
      <c r="B2" s="86"/>
      <c r="C2" s="87"/>
      <c r="D2" s="86"/>
      <c r="E2" s="86"/>
      <c r="F2" s="86"/>
      <c r="G2" s="88"/>
      <c r="H2" s="86"/>
      <c r="I2" s="86"/>
      <c r="J2" s="86"/>
      <c r="K2" s="89"/>
      <c r="L2" s="84"/>
      <c r="M2" s="90" t="str">
        <f>A2</f>
        <v>DEMONSTRATIVO MENSAL DE CUSTO OPERACIONAL UNITÁRIO DE VEÍCULO </v>
      </c>
      <c r="N2" s="91"/>
      <c r="O2" s="91"/>
      <c r="P2" s="91"/>
      <c r="Q2" s="91"/>
      <c r="R2" s="91"/>
      <c r="S2" s="92"/>
      <c r="T2" s="91"/>
      <c r="U2" s="91"/>
      <c r="V2" s="91"/>
      <c r="W2" s="93"/>
    </row>
    <row r="3" spans="1:23" ht="21" thickBot="1">
      <c r="A3" s="94" t="s">
        <v>175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  <c r="L3" s="84"/>
      <c r="M3" s="98" t="s">
        <v>52</v>
      </c>
      <c r="N3" s="99"/>
      <c r="O3" s="99"/>
      <c r="P3" s="99"/>
      <c r="Q3" s="99"/>
      <c r="R3" s="99"/>
      <c r="S3" s="99"/>
      <c r="T3" s="99"/>
      <c r="U3" s="99"/>
      <c r="V3" s="99"/>
      <c r="W3" s="100" t="s">
        <v>51</v>
      </c>
    </row>
    <row r="4" spans="1:23" ht="12.7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84"/>
      <c r="M4" s="104" t="str">
        <f>A6</f>
        <v>Descrição do Veiculo: CAMINHÃO   PIPA   -   Tipo   MBB 1618  ou   SIMILAR</v>
      </c>
      <c r="N4" s="105"/>
      <c r="O4" s="105"/>
      <c r="P4" s="105"/>
      <c r="Q4" s="105"/>
      <c r="R4" s="105"/>
      <c r="S4" s="105"/>
      <c r="T4" s="105"/>
      <c r="U4" s="105"/>
      <c r="V4" s="106"/>
      <c r="W4" s="107"/>
    </row>
    <row r="5" spans="1:23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  <c r="L5" s="84"/>
      <c r="M5" s="109" t="str">
        <f>A7</f>
        <v>Ano de Fabricação: 2005</v>
      </c>
      <c r="N5" s="110"/>
      <c r="O5" s="110" t="str">
        <f>A9</f>
        <v>Contratante:</v>
      </c>
      <c r="P5" s="111" t="str">
        <f>B9</f>
        <v>PREFEITURA   MUNICIPAL   DE   PATOS   DE   MINAS - MG</v>
      </c>
      <c r="Q5" s="112"/>
      <c r="R5" s="110"/>
      <c r="S5" s="110"/>
      <c r="T5" s="110"/>
      <c r="U5" s="110"/>
      <c r="V5" s="113"/>
      <c r="W5" s="103"/>
    </row>
    <row r="6" spans="1:23" ht="12.75">
      <c r="A6" s="104" t="s">
        <v>184</v>
      </c>
      <c r="B6" s="105"/>
      <c r="C6" s="105"/>
      <c r="D6" s="105"/>
      <c r="E6" s="114"/>
      <c r="F6" s="105"/>
      <c r="G6" s="105"/>
      <c r="H6" s="105"/>
      <c r="I6" s="105"/>
      <c r="J6" s="106"/>
      <c r="K6" s="115"/>
      <c r="L6" s="84"/>
      <c r="M6" s="109" t="str">
        <f>A8</f>
        <v>Tipo de Combustível: Diesel</v>
      </c>
      <c r="N6" s="110"/>
      <c r="O6" s="110"/>
      <c r="P6" s="110"/>
      <c r="Q6" s="116"/>
      <c r="R6" s="110"/>
      <c r="S6" s="110"/>
      <c r="T6" s="110"/>
      <c r="U6" s="110"/>
      <c r="V6" s="113"/>
      <c r="W6" s="103"/>
    </row>
    <row r="7" spans="1:23" ht="12.75">
      <c r="A7" s="109" t="s">
        <v>55</v>
      </c>
      <c r="B7" s="110"/>
      <c r="C7" s="110"/>
      <c r="D7" s="110"/>
      <c r="E7" s="110"/>
      <c r="F7" s="110"/>
      <c r="G7" s="110"/>
      <c r="H7" s="110"/>
      <c r="I7" s="110"/>
      <c r="J7" s="113"/>
      <c r="K7" s="117"/>
      <c r="L7" s="84"/>
      <c r="M7" s="118" t="str">
        <f>A10</f>
        <v>Km Estimada: </v>
      </c>
      <c r="N7" s="113"/>
      <c r="O7" s="119">
        <f>C10</f>
        <v>1000</v>
      </c>
      <c r="P7" s="113" t="str">
        <f>D10</f>
        <v>Km</v>
      </c>
      <c r="Q7" s="113"/>
      <c r="R7" s="113"/>
      <c r="S7" s="113"/>
      <c r="T7" s="113"/>
      <c r="U7" s="113"/>
      <c r="V7" s="113"/>
      <c r="W7" s="103"/>
    </row>
    <row r="8" spans="1:23" ht="12.75">
      <c r="A8" s="109" t="s">
        <v>56</v>
      </c>
      <c r="B8" s="110"/>
      <c r="C8" s="110"/>
      <c r="D8" s="110"/>
      <c r="E8" s="110"/>
      <c r="F8" s="110"/>
      <c r="G8" s="110"/>
      <c r="H8" s="110" t="s">
        <v>57</v>
      </c>
      <c r="I8" s="120">
        <v>0</v>
      </c>
      <c r="J8" s="113"/>
      <c r="K8" s="117"/>
      <c r="L8" s="84"/>
      <c r="M8" s="121" t="str">
        <f>A11</f>
        <v>Horário:</v>
      </c>
      <c r="N8" s="122">
        <v>0.333333333333333</v>
      </c>
      <c r="O8" s="123" t="s">
        <v>58</v>
      </c>
      <c r="P8" s="122">
        <f>D11</f>
        <v>0.75</v>
      </c>
      <c r="Q8" s="124" t="s">
        <v>59</v>
      </c>
      <c r="R8" s="125"/>
      <c r="S8" s="126"/>
      <c r="T8" s="126"/>
      <c r="U8" s="126"/>
      <c r="V8" s="126"/>
      <c r="W8" s="103"/>
    </row>
    <row r="9" spans="1:23" ht="15.75">
      <c r="A9" s="109" t="s">
        <v>60</v>
      </c>
      <c r="B9" s="111" t="s">
        <v>61</v>
      </c>
      <c r="C9" s="110"/>
      <c r="D9" s="110"/>
      <c r="E9" s="110"/>
      <c r="F9" s="110"/>
      <c r="G9" s="110"/>
      <c r="H9" s="110"/>
      <c r="I9" s="120"/>
      <c r="J9" s="113"/>
      <c r="K9" s="117"/>
      <c r="L9" s="84"/>
      <c r="M9" s="118"/>
      <c r="N9" s="127"/>
      <c r="O9" s="128"/>
      <c r="P9" s="127"/>
      <c r="Q9" s="129"/>
      <c r="R9" s="127"/>
      <c r="S9" s="113"/>
      <c r="T9" s="113"/>
      <c r="U9" s="113"/>
      <c r="V9" s="113"/>
      <c r="W9" s="103"/>
    </row>
    <row r="10" spans="1:28" ht="12.75">
      <c r="A10" s="109" t="s">
        <v>62</v>
      </c>
      <c r="B10" s="130"/>
      <c r="C10" s="131">
        <v>1000</v>
      </c>
      <c r="D10" s="110" t="s">
        <v>63</v>
      </c>
      <c r="E10" s="130"/>
      <c r="F10" s="130"/>
      <c r="G10" s="113"/>
      <c r="H10" s="113"/>
      <c r="I10" s="113"/>
      <c r="J10" s="113"/>
      <c r="K10" s="117"/>
      <c r="L10" s="84"/>
      <c r="M10" s="132"/>
      <c r="N10" s="133"/>
      <c r="O10" s="133"/>
      <c r="P10" s="133"/>
      <c r="Q10" s="133"/>
      <c r="R10" s="106"/>
      <c r="S10" s="134"/>
      <c r="T10" s="133"/>
      <c r="U10" s="135" t="s">
        <v>64</v>
      </c>
      <c r="V10" s="136"/>
      <c r="W10" s="103"/>
      <c r="AB10" s="1">
        <f>180.55*20</f>
        <v>3611</v>
      </c>
    </row>
    <row r="11" spans="1:28" ht="12.75">
      <c r="A11" s="121" t="s">
        <v>65</v>
      </c>
      <c r="B11" s="137">
        <v>0.333333333333333</v>
      </c>
      <c r="C11" s="123" t="s">
        <v>58</v>
      </c>
      <c r="D11" s="137">
        <v>0.75</v>
      </c>
      <c r="E11" s="124" t="s">
        <v>59</v>
      </c>
      <c r="F11" s="125"/>
      <c r="G11" s="126"/>
      <c r="H11" s="126"/>
      <c r="I11" s="126"/>
      <c r="J11" s="126"/>
      <c r="K11" s="117"/>
      <c r="L11" s="84"/>
      <c r="M11" s="16" t="s">
        <v>66</v>
      </c>
      <c r="N11" s="12" t="s">
        <v>67</v>
      </c>
      <c r="O11" s="12" t="s">
        <v>68</v>
      </c>
      <c r="P11" s="12" t="s">
        <v>67</v>
      </c>
      <c r="Q11" s="12" t="s">
        <v>69</v>
      </c>
      <c r="R11" s="815" t="s">
        <v>70</v>
      </c>
      <c r="S11" s="816"/>
      <c r="T11" s="12" t="s">
        <v>71</v>
      </c>
      <c r="U11" s="12" t="s">
        <v>72</v>
      </c>
      <c r="V11" s="138" t="s">
        <v>73</v>
      </c>
      <c r="W11" s="103"/>
      <c r="AB11" s="1">
        <f>1120.82*4</f>
        <v>4483.28</v>
      </c>
    </row>
    <row r="12" spans="1:23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  <c r="L12" s="84"/>
      <c r="M12" s="141"/>
      <c r="N12" s="142"/>
      <c r="O12" s="142"/>
      <c r="P12" s="142"/>
      <c r="Q12" s="142"/>
      <c r="R12" s="126"/>
      <c r="S12" s="143"/>
      <c r="T12" s="142"/>
      <c r="U12" s="144" t="s">
        <v>74</v>
      </c>
      <c r="V12" s="145"/>
      <c r="W12" s="146"/>
    </row>
    <row r="13" spans="1:28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  <c r="L13" s="84"/>
      <c r="M13" s="132"/>
      <c r="N13" s="133"/>
      <c r="O13" s="133"/>
      <c r="P13" s="148"/>
      <c r="Q13" s="148"/>
      <c r="R13" s="113"/>
      <c r="S13" s="113"/>
      <c r="T13" s="133"/>
      <c r="U13" s="148"/>
      <c r="V13" s="136"/>
      <c r="W13" s="103"/>
      <c r="AB13" s="1">
        <f>SUM(AB10:AB12)</f>
        <v>8094.28</v>
      </c>
    </row>
    <row r="14" spans="1:23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  <c r="L14" s="84"/>
      <c r="M14" s="152"/>
      <c r="N14" s="148"/>
      <c r="O14" s="148"/>
      <c r="P14" s="148"/>
      <c r="Q14" s="153" t="s">
        <v>77</v>
      </c>
      <c r="R14" s="154" t="s">
        <v>78</v>
      </c>
      <c r="S14" s="155"/>
      <c r="T14" s="148"/>
      <c r="U14" s="148"/>
      <c r="V14" s="138" t="s">
        <v>73</v>
      </c>
      <c r="W14" s="103"/>
    </row>
    <row r="15" spans="1:23" ht="12.75">
      <c r="A15" s="152"/>
      <c r="B15" s="148"/>
      <c r="C15" s="148"/>
      <c r="D15" s="148"/>
      <c r="E15" s="148"/>
      <c r="F15" s="148"/>
      <c r="G15" s="148"/>
      <c r="H15" s="148"/>
      <c r="I15" s="148"/>
      <c r="J15" s="156"/>
      <c r="K15" s="117"/>
      <c r="L15" s="84"/>
      <c r="M15" s="152"/>
      <c r="N15" s="148"/>
      <c r="O15" s="148"/>
      <c r="P15" s="148"/>
      <c r="Q15" s="148"/>
      <c r="R15" s="113"/>
      <c r="S15" s="155"/>
      <c r="T15" s="148"/>
      <c r="U15" s="157"/>
      <c r="V15" s="156"/>
      <c r="W15" s="103"/>
    </row>
    <row r="16" spans="1:23" ht="12.75">
      <c r="A16" s="152"/>
      <c r="B16" s="148"/>
      <c r="C16" s="148"/>
      <c r="D16" s="148"/>
      <c r="E16" s="148"/>
      <c r="F16" s="153" t="s">
        <v>79</v>
      </c>
      <c r="G16" s="12" t="s">
        <v>80</v>
      </c>
      <c r="H16" s="148"/>
      <c r="I16" s="148"/>
      <c r="J16" s="156"/>
      <c r="K16" s="117"/>
      <c r="L16" s="84"/>
      <c r="M16" s="158">
        <v>2.5</v>
      </c>
      <c r="N16" s="12" t="s">
        <v>81</v>
      </c>
      <c r="O16" s="159">
        <v>1000000</v>
      </c>
      <c r="P16" s="12" t="s">
        <v>63</v>
      </c>
      <c r="Q16" s="153" t="s">
        <v>82</v>
      </c>
      <c r="R16" s="154" t="s">
        <v>83</v>
      </c>
      <c r="S16" s="155"/>
      <c r="T16" s="160">
        <f>(M16/O16)</f>
        <v>2.5E-06</v>
      </c>
      <c r="U16" s="161">
        <f>I18</f>
        <v>58363.2</v>
      </c>
      <c r="V16" s="162">
        <f aca="true" t="shared" si="0" ref="V16:V22">(+U16*T16)</f>
        <v>0.1459</v>
      </c>
      <c r="W16" s="163">
        <f>V16*C10/V64</f>
        <v>0.0415</v>
      </c>
    </row>
    <row r="17" spans="1:23" ht="12.75">
      <c r="A17" s="152"/>
      <c r="B17" s="148"/>
      <c r="C17" s="148"/>
      <c r="D17" s="148"/>
      <c r="E17" s="148"/>
      <c r="F17" s="148"/>
      <c r="G17" s="148"/>
      <c r="H17" s="148"/>
      <c r="I17" s="148"/>
      <c r="J17" s="156"/>
      <c r="K17" s="117"/>
      <c r="L17" s="84"/>
      <c r="M17" s="164">
        <v>15</v>
      </c>
      <c r="N17" s="12" t="s">
        <v>51</v>
      </c>
      <c r="O17" s="159" t="s">
        <v>84</v>
      </c>
      <c r="P17" s="165" t="s">
        <v>84</v>
      </c>
      <c r="Q17" s="153" t="s">
        <v>85</v>
      </c>
      <c r="R17" s="154" t="s">
        <v>86</v>
      </c>
      <c r="S17" s="155"/>
      <c r="T17" s="160">
        <f>(+M17/100)</f>
        <v>0.15</v>
      </c>
      <c r="U17" s="166">
        <f>V16</f>
        <v>0.1459</v>
      </c>
      <c r="V17" s="162">
        <f t="shared" si="0"/>
        <v>0.0219</v>
      </c>
      <c r="W17" s="163">
        <f>V17*C10/V64</f>
        <v>0.0062</v>
      </c>
    </row>
    <row r="18" spans="1:26" ht="12.75">
      <c r="A18" s="167">
        <v>100</v>
      </c>
      <c r="B18" s="168" t="s">
        <v>51</v>
      </c>
      <c r="C18" s="771">
        <f>12*8</f>
        <v>96</v>
      </c>
      <c r="D18" s="12" t="s">
        <v>87</v>
      </c>
      <c r="E18" s="170" t="s">
        <v>88</v>
      </c>
      <c r="F18" s="170" t="s">
        <v>89</v>
      </c>
      <c r="G18" s="170" t="s">
        <v>90</v>
      </c>
      <c r="H18" s="171">
        <f>(+A18/C18)/100</f>
        <v>0.0104167</v>
      </c>
      <c r="I18" s="169">
        <f>I20-(M18*U18)</f>
        <v>58363.2</v>
      </c>
      <c r="J18" s="172">
        <f>(H18*I18)</f>
        <v>607.95</v>
      </c>
      <c r="K18" s="173">
        <f>J18/V64</f>
        <v>0.1731</v>
      </c>
      <c r="L18" s="84"/>
      <c r="M18" s="174">
        <v>8</v>
      </c>
      <c r="N18" s="12" t="s">
        <v>91</v>
      </c>
      <c r="O18" s="175">
        <v>100000</v>
      </c>
      <c r="P18" s="12" t="s">
        <v>63</v>
      </c>
      <c r="Q18" s="153" t="s">
        <v>92</v>
      </c>
      <c r="R18" s="116" t="s">
        <v>93</v>
      </c>
      <c r="S18" s="112"/>
      <c r="T18" s="160">
        <f>(+M18/O18)</f>
        <v>8E-05</v>
      </c>
      <c r="U18" s="255">
        <v>1454.6</v>
      </c>
      <c r="V18" s="162">
        <f t="shared" si="0"/>
        <v>0.1164</v>
      </c>
      <c r="W18" s="163">
        <f>V18*C10/V64</f>
        <v>0.0331</v>
      </c>
      <c r="Z18" s="1">
        <f>180.55*25</f>
        <v>4513.75</v>
      </c>
    </row>
    <row r="19" spans="1:26" ht="12.75">
      <c r="A19" s="176">
        <f>A18</f>
        <v>100</v>
      </c>
      <c r="B19" s="12" t="s">
        <v>51</v>
      </c>
      <c r="C19" s="159">
        <f>C18</f>
        <v>96</v>
      </c>
      <c r="D19" s="12" t="s">
        <v>87</v>
      </c>
      <c r="E19" s="153" t="s">
        <v>88</v>
      </c>
      <c r="F19" s="153" t="s">
        <v>94</v>
      </c>
      <c r="G19" s="153" t="s">
        <v>95</v>
      </c>
      <c r="H19" s="160">
        <f>(+A19/C19)/100</f>
        <v>0.0104167</v>
      </c>
      <c r="I19" s="161">
        <f>I18*I8</f>
        <v>0</v>
      </c>
      <c r="J19" s="172">
        <f>(H19*I19)</f>
        <v>0</v>
      </c>
      <c r="K19" s="173" t="s">
        <v>96</v>
      </c>
      <c r="L19" s="84"/>
      <c r="M19" s="174">
        <v>1</v>
      </c>
      <c r="N19" s="12" t="s">
        <v>97</v>
      </c>
      <c r="O19" s="237">
        <v>3</v>
      </c>
      <c r="P19" s="12" t="s">
        <v>63</v>
      </c>
      <c r="Q19" s="153" t="s">
        <v>98</v>
      </c>
      <c r="R19" s="116" t="s">
        <v>99</v>
      </c>
      <c r="S19" s="112"/>
      <c r="T19" s="160">
        <f>(+M19/O19)</f>
        <v>0.3333333</v>
      </c>
      <c r="U19" s="255">
        <v>2.95</v>
      </c>
      <c r="V19" s="162">
        <f t="shared" si="0"/>
        <v>0.9833</v>
      </c>
      <c r="W19" s="163">
        <f>V19*C10/V64</f>
        <v>0.28</v>
      </c>
      <c r="Z19" s="1">
        <f>1120.82</f>
        <v>1120.82</v>
      </c>
    </row>
    <row r="20" spans="1:26" ht="12.75">
      <c r="A20" s="766">
        <v>18</v>
      </c>
      <c r="B20" s="168" t="s">
        <v>51</v>
      </c>
      <c r="C20" s="175">
        <v>18</v>
      </c>
      <c r="D20" s="12" t="s">
        <v>87</v>
      </c>
      <c r="E20" s="170" t="s">
        <v>88</v>
      </c>
      <c r="F20" s="170" t="s">
        <v>100</v>
      </c>
      <c r="G20" s="170" t="s">
        <v>101</v>
      </c>
      <c r="H20" s="171">
        <f>(+A20/C20)/100</f>
        <v>0.01</v>
      </c>
      <c r="I20" s="255">
        <v>70000</v>
      </c>
      <c r="J20" s="172">
        <f>(H20*I20)</f>
        <v>700</v>
      </c>
      <c r="K20" s="173">
        <f>J20/V64</f>
        <v>0.1993</v>
      </c>
      <c r="L20" s="84"/>
      <c r="M20" s="174">
        <v>10.27</v>
      </c>
      <c r="N20" s="12" t="s">
        <v>97</v>
      </c>
      <c r="O20" s="159">
        <v>7500</v>
      </c>
      <c r="P20" s="12" t="s">
        <v>63</v>
      </c>
      <c r="Q20" s="153" t="s">
        <v>102</v>
      </c>
      <c r="R20" s="154" t="s">
        <v>103</v>
      </c>
      <c r="S20" s="155"/>
      <c r="T20" s="160">
        <f>(+M20/O20)</f>
        <v>0.0013693</v>
      </c>
      <c r="U20" s="255">
        <v>19</v>
      </c>
      <c r="V20" s="162">
        <f t="shared" si="0"/>
        <v>0.026</v>
      </c>
      <c r="W20" s="163">
        <f>V20*C10/V64</f>
        <v>0.0074</v>
      </c>
      <c r="Z20" s="1">
        <f>SUM(Z18:Z19)</f>
        <v>5634.57</v>
      </c>
    </row>
    <row r="21" spans="1:23" ht="12.75">
      <c r="A21" s="176">
        <f>A20</f>
        <v>18</v>
      </c>
      <c r="B21" s="12" t="s">
        <v>51</v>
      </c>
      <c r="C21" s="159">
        <f>C20</f>
        <v>18</v>
      </c>
      <c r="D21" s="12" t="s">
        <v>87</v>
      </c>
      <c r="E21" s="153" t="s">
        <v>88</v>
      </c>
      <c r="F21" s="153" t="s">
        <v>104</v>
      </c>
      <c r="G21" s="153" t="s">
        <v>105</v>
      </c>
      <c r="H21" s="160">
        <f>(+A21/C21)/100</f>
        <v>0.01</v>
      </c>
      <c r="I21" s="161">
        <f>I20*I8</f>
        <v>0</v>
      </c>
      <c r="J21" s="172">
        <f>(H21*I21)</f>
        <v>0</v>
      </c>
      <c r="K21" s="173" t="s">
        <v>96</v>
      </c>
      <c r="L21" s="84"/>
      <c r="M21" s="174">
        <v>9.5</v>
      </c>
      <c r="N21" s="12" t="s">
        <v>97</v>
      </c>
      <c r="O21" s="159">
        <v>30000</v>
      </c>
      <c r="P21" s="12" t="s">
        <v>63</v>
      </c>
      <c r="Q21" s="153" t="s">
        <v>106</v>
      </c>
      <c r="R21" s="154" t="s">
        <v>107</v>
      </c>
      <c r="S21" s="155"/>
      <c r="T21" s="160">
        <f>(+M21/O21)</f>
        <v>0.0003167</v>
      </c>
      <c r="U21" s="255">
        <v>22</v>
      </c>
      <c r="V21" s="162">
        <f t="shared" si="0"/>
        <v>0.007</v>
      </c>
      <c r="W21" s="163">
        <f>V21*C10/V64</f>
        <v>0.002</v>
      </c>
    </row>
    <row r="22" spans="1:26" ht="12.75">
      <c r="A22" s="176">
        <v>1</v>
      </c>
      <c r="B22" s="12" t="s">
        <v>108</v>
      </c>
      <c r="C22" s="159">
        <v>12</v>
      </c>
      <c r="D22" s="12" t="s">
        <v>87</v>
      </c>
      <c r="E22" s="153" t="s">
        <v>88</v>
      </c>
      <c r="F22" s="153" t="s">
        <v>109</v>
      </c>
      <c r="G22" s="153" t="s">
        <v>110</v>
      </c>
      <c r="H22" s="160">
        <f>A22/C22</f>
        <v>0.0833333</v>
      </c>
      <c r="I22" s="169">
        <v>77</v>
      </c>
      <c r="J22" s="177">
        <f>(I22*H22)</f>
        <v>6.42</v>
      </c>
      <c r="K22" s="173">
        <f>J22/V64</f>
        <v>0.0018</v>
      </c>
      <c r="L22" s="84"/>
      <c r="M22" s="174">
        <v>1</v>
      </c>
      <c r="N22" s="12" t="s">
        <v>91</v>
      </c>
      <c r="O22" s="159">
        <v>4000</v>
      </c>
      <c r="P22" s="12" t="s">
        <v>63</v>
      </c>
      <c r="Q22" s="153" t="s">
        <v>111</v>
      </c>
      <c r="R22" s="154" t="s">
        <v>112</v>
      </c>
      <c r="S22" s="155"/>
      <c r="T22" s="160">
        <f>(+M22/O22)</f>
        <v>0.00025</v>
      </c>
      <c r="U22" s="255">
        <v>100</v>
      </c>
      <c r="V22" s="162">
        <f t="shared" si="0"/>
        <v>0.025</v>
      </c>
      <c r="W22" s="163">
        <f>V22*C10/V64</f>
        <v>0.0071</v>
      </c>
      <c r="Z22" s="178">
        <f>Z20/25</f>
        <v>225.38</v>
      </c>
    </row>
    <row r="23" spans="1:23" ht="12.75">
      <c r="A23" s="176">
        <v>1</v>
      </c>
      <c r="B23" s="12" t="s">
        <v>108</v>
      </c>
      <c r="C23" s="159">
        <v>12</v>
      </c>
      <c r="D23" s="12" t="s">
        <v>87</v>
      </c>
      <c r="E23" s="153" t="s">
        <v>88</v>
      </c>
      <c r="F23" s="153" t="s">
        <v>113</v>
      </c>
      <c r="G23" s="153" t="s">
        <v>114</v>
      </c>
      <c r="H23" s="160">
        <f>A23/C23</f>
        <v>0.0833333</v>
      </c>
      <c r="I23" s="169">
        <v>1350</v>
      </c>
      <c r="J23" s="177">
        <f>(I23*H23)</f>
        <v>112.5</v>
      </c>
      <c r="K23" s="173">
        <f>J23/V64</f>
        <v>0.032</v>
      </c>
      <c r="L23" s="84"/>
      <c r="M23" s="174"/>
      <c r="N23" s="148"/>
      <c r="O23" s="159"/>
      <c r="P23" s="148"/>
      <c r="Q23" s="148"/>
      <c r="R23" s="113"/>
      <c r="S23" s="155"/>
      <c r="T23" s="179"/>
      <c r="U23" s="161"/>
      <c r="V23" s="162"/>
      <c r="W23" s="146"/>
    </row>
    <row r="24" spans="1:23" ht="12.75">
      <c r="A24" s="176">
        <v>0</v>
      </c>
      <c r="B24" s="12" t="s">
        <v>115</v>
      </c>
      <c r="C24" s="159">
        <v>12</v>
      </c>
      <c r="D24" s="12" t="s">
        <v>87</v>
      </c>
      <c r="E24" s="153" t="s">
        <v>88</v>
      </c>
      <c r="F24" s="153" t="s">
        <v>116</v>
      </c>
      <c r="G24" s="153" t="s">
        <v>493</v>
      </c>
      <c r="H24" s="160">
        <f>1/12</f>
        <v>0.0833333</v>
      </c>
      <c r="I24" s="161">
        <f>(+I20*A24)/100</f>
        <v>0</v>
      </c>
      <c r="J24" s="177">
        <f>(I24*H24)</f>
        <v>0</v>
      </c>
      <c r="K24" s="173">
        <f>J24/V64</f>
        <v>0</v>
      </c>
      <c r="L24" s="84"/>
      <c r="M24" s="294"/>
      <c r="N24" s="142"/>
      <c r="O24" s="144"/>
      <c r="P24" s="142"/>
      <c r="Q24" s="223" t="s">
        <v>118</v>
      </c>
      <c r="R24" s="218" t="s">
        <v>119</v>
      </c>
      <c r="S24" s="219"/>
      <c r="T24" s="220"/>
      <c r="U24" s="221"/>
      <c r="V24" s="243">
        <f>SUM(V16:V22)</f>
        <v>1.3255</v>
      </c>
      <c r="W24" s="184">
        <f>V24*C10/V64</f>
        <v>0.3775</v>
      </c>
    </row>
    <row r="25" spans="1:23" ht="12.75">
      <c r="A25" s="185"/>
      <c r="B25" s="148"/>
      <c r="C25" s="161"/>
      <c r="D25" s="148"/>
      <c r="E25" s="148"/>
      <c r="F25" s="148"/>
      <c r="G25" s="148"/>
      <c r="H25" s="186"/>
      <c r="I25" s="179"/>
      <c r="J25" s="187"/>
      <c r="K25" s="117"/>
      <c r="L25" s="84"/>
      <c r="M25" s="152"/>
      <c r="N25" s="148"/>
      <c r="O25" s="148"/>
      <c r="P25" s="148"/>
      <c r="Q25" s="295"/>
      <c r="R25" s="155"/>
      <c r="S25" s="155"/>
      <c r="T25" s="148"/>
      <c r="U25" s="157"/>
      <c r="V25" s="296"/>
      <c r="W25" s="103"/>
    </row>
    <row r="26" spans="1:23" ht="12.75">
      <c r="A26" s="185"/>
      <c r="B26" s="148"/>
      <c r="C26" s="161"/>
      <c r="D26" s="148"/>
      <c r="E26" s="148"/>
      <c r="F26" s="153" t="s">
        <v>120</v>
      </c>
      <c r="G26" s="153" t="s">
        <v>121</v>
      </c>
      <c r="H26" s="186"/>
      <c r="I26" s="179"/>
      <c r="J26" s="177">
        <f>SUM(J18:J24)</f>
        <v>1426.87</v>
      </c>
      <c r="K26" s="192"/>
      <c r="L26" s="84"/>
      <c r="M26" s="26"/>
      <c r="N26" s="25"/>
      <c r="O26" s="25"/>
      <c r="P26" s="25"/>
      <c r="Q26" s="25"/>
      <c r="R26" s="194"/>
      <c r="S26" s="194"/>
      <c r="T26" s="25"/>
      <c r="U26" s="25"/>
      <c r="V26" s="297"/>
      <c r="W26" s="103"/>
    </row>
    <row r="27" spans="1:23" ht="12.75">
      <c r="A27" s="176">
        <v>100</v>
      </c>
      <c r="B27" s="12" t="s">
        <v>51</v>
      </c>
      <c r="C27" s="161">
        <v>1</v>
      </c>
      <c r="D27" s="12" t="s">
        <v>87</v>
      </c>
      <c r="E27" s="153" t="s">
        <v>88</v>
      </c>
      <c r="F27" s="148"/>
      <c r="G27" s="12" t="s">
        <v>122</v>
      </c>
      <c r="H27" s="195">
        <f>(+A27/C27)/100</f>
        <v>1</v>
      </c>
      <c r="I27" s="161"/>
      <c r="J27" s="177">
        <f>J26*H27</f>
        <v>1426.87</v>
      </c>
      <c r="K27" s="196">
        <f>J27/V64</f>
        <v>0.4063</v>
      </c>
      <c r="L27" s="84"/>
      <c r="M27" s="152"/>
      <c r="N27" s="148"/>
      <c r="O27" s="148"/>
      <c r="P27" s="148"/>
      <c r="Q27" s="148"/>
      <c r="R27" s="113"/>
      <c r="S27" s="113"/>
      <c r="T27" s="148"/>
      <c r="U27" s="157"/>
      <c r="V27" s="298"/>
      <c r="W27" s="103"/>
    </row>
    <row r="28" spans="1:23" ht="12.75">
      <c r="A28" s="185"/>
      <c r="B28" s="148"/>
      <c r="C28" s="161"/>
      <c r="D28" s="148"/>
      <c r="E28" s="148"/>
      <c r="F28" s="148"/>
      <c r="G28" s="148"/>
      <c r="H28" s="195"/>
      <c r="I28" s="161"/>
      <c r="J28" s="177"/>
      <c r="K28" s="192"/>
      <c r="L28" s="84"/>
      <c r="M28" s="141"/>
      <c r="N28" s="142"/>
      <c r="O28" s="142"/>
      <c r="P28" s="142"/>
      <c r="Q28" s="142"/>
      <c r="R28" s="126"/>
      <c r="S28" s="126"/>
      <c r="T28" s="142"/>
      <c r="U28" s="299"/>
      <c r="V28" s="300"/>
      <c r="W28" s="103"/>
    </row>
    <row r="29" spans="1:23" ht="12.75">
      <c r="A29" s="185"/>
      <c r="B29" s="148"/>
      <c r="C29" s="161"/>
      <c r="D29" s="148"/>
      <c r="E29" s="169"/>
      <c r="F29" s="170"/>
      <c r="G29" s="348"/>
      <c r="H29" s="199"/>
      <c r="I29" s="200"/>
      <c r="J29" s="172"/>
      <c r="K29" s="173"/>
      <c r="L29" s="84"/>
      <c r="M29" s="197"/>
      <c r="N29" s="113"/>
      <c r="O29" s="113"/>
      <c r="P29" s="113"/>
      <c r="Q29" s="113"/>
      <c r="R29" s="113"/>
      <c r="S29" s="113"/>
      <c r="T29" s="113"/>
      <c r="U29" s="127"/>
      <c r="V29" s="127"/>
      <c r="W29" s="103"/>
    </row>
    <row r="30" spans="1:23" ht="12.75">
      <c r="A30" s="167">
        <v>2</v>
      </c>
      <c r="B30" s="168" t="s">
        <v>123</v>
      </c>
      <c r="C30" s="175">
        <f>C10</f>
        <v>1000</v>
      </c>
      <c r="D30" s="168" t="s">
        <v>124</v>
      </c>
      <c r="E30" s="216">
        <f>(+C30*H30)</f>
        <v>20</v>
      </c>
      <c r="F30" s="170" t="s">
        <v>125</v>
      </c>
      <c r="G30" s="202" t="s">
        <v>126</v>
      </c>
      <c r="H30" s="199">
        <f>(+A30/100)</f>
        <v>0.02</v>
      </c>
      <c r="I30" s="203">
        <f>V24</f>
        <v>1.3255</v>
      </c>
      <c r="J30" s="172">
        <f>(+E30*I30)</f>
        <v>26.51</v>
      </c>
      <c r="K30" s="173">
        <f>J30/V$64</f>
        <v>0.0075</v>
      </c>
      <c r="L30" s="84"/>
      <c r="M30" s="197"/>
      <c r="N30" s="113"/>
      <c r="O30" s="113"/>
      <c r="P30" s="113"/>
      <c r="Q30" s="113"/>
      <c r="R30" s="113"/>
      <c r="S30" s="113"/>
      <c r="T30" s="113"/>
      <c r="U30" s="127"/>
      <c r="V30" s="127"/>
      <c r="W30" s="103"/>
    </row>
    <row r="31" spans="1:23" ht="12.75">
      <c r="A31" s="176"/>
      <c r="B31" s="12"/>
      <c r="C31" s="161"/>
      <c r="D31" s="12"/>
      <c r="E31" s="169"/>
      <c r="F31" s="170"/>
      <c r="G31" s="348"/>
      <c r="H31" s="199"/>
      <c r="I31" s="200"/>
      <c r="J31" s="172"/>
      <c r="K31" s="173"/>
      <c r="L31" s="84"/>
      <c r="M31" s="197"/>
      <c r="N31" s="113"/>
      <c r="O31" s="113"/>
      <c r="P31" s="113"/>
      <c r="Q31" s="113"/>
      <c r="R31" s="113"/>
      <c r="S31" s="113"/>
      <c r="T31" s="113"/>
      <c r="U31" s="127"/>
      <c r="V31" s="127"/>
      <c r="W31" s="103"/>
    </row>
    <row r="32" spans="1:23" ht="12.75">
      <c r="A32" s="174"/>
      <c r="B32" s="148"/>
      <c r="C32" s="161"/>
      <c r="D32" s="148"/>
      <c r="E32" s="148"/>
      <c r="F32" s="170" t="s">
        <v>132</v>
      </c>
      <c r="G32" s="148" t="s">
        <v>445</v>
      </c>
      <c r="H32" s="186"/>
      <c r="I32" s="157"/>
      <c r="J32" s="177">
        <f>SUM(J27:J30)</f>
        <v>1453.38</v>
      </c>
      <c r="K32" s="173"/>
      <c r="L32" s="84"/>
      <c r="M32" s="197"/>
      <c r="N32" s="113"/>
      <c r="O32" s="113"/>
      <c r="P32" s="113"/>
      <c r="Q32" s="113"/>
      <c r="R32" s="113"/>
      <c r="S32" s="113"/>
      <c r="T32" s="113"/>
      <c r="U32" s="127"/>
      <c r="V32" s="127"/>
      <c r="W32" s="103"/>
    </row>
    <row r="33" spans="1:23" ht="12.75">
      <c r="A33" s="174"/>
      <c r="B33" s="148"/>
      <c r="C33" s="161"/>
      <c r="D33" s="148"/>
      <c r="E33" s="424"/>
      <c r="F33" s="170"/>
      <c r="G33" s="170"/>
      <c r="H33" s="423"/>
      <c r="I33" s="428"/>
      <c r="J33" s="425"/>
      <c r="K33" s="173"/>
      <c r="L33" s="84"/>
      <c r="M33" s="101"/>
      <c r="N33" s="102"/>
      <c r="O33" s="102"/>
      <c r="P33" s="102"/>
      <c r="Q33" s="102"/>
      <c r="R33" s="102"/>
      <c r="S33" s="102"/>
      <c r="T33" s="102"/>
      <c r="U33" s="102"/>
      <c r="V33" s="102"/>
      <c r="W33" s="103"/>
    </row>
    <row r="34" spans="1:23" ht="12.75">
      <c r="A34" s="760">
        <v>2.5</v>
      </c>
      <c r="B34" s="168" t="s">
        <v>198</v>
      </c>
      <c r="C34" s="161"/>
      <c r="D34" s="12"/>
      <c r="E34" s="424"/>
      <c r="F34" s="170" t="s">
        <v>449</v>
      </c>
      <c r="G34" s="226" t="s">
        <v>448</v>
      </c>
      <c r="H34" s="160">
        <f>A34/100</f>
        <v>0.025</v>
      </c>
      <c r="I34" s="246">
        <f>J32</f>
        <v>1453.38</v>
      </c>
      <c r="J34" s="172">
        <f>H34*I34</f>
        <v>36.33</v>
      </c>
      <c r="K34" s="173">
        <f>J34/V$64</f>
        <v>0.0103</v>
      </c>
      <c r="L34" s="8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3"/>
    </row>
    <row r="35" spans="1:23" ht="12.75">
      <c r="A35" s="176"/>
      <c r="B35" s="12"/>
      <c r="C35" s="161"/>
      <c r="D35" s="12"/>
      <c r="E35" s="159"/>
      <c r="F35" s="153"/>
      <c r="G35" s="153"/>
      <c r="H35" s="195"/>
      <c r="I35" s="169"/>
      <c r="J35" s="177"/>
      <c r="K35" s="173"/>
      <c r="L35" s="84"/>
      <c r="M35" s="301"/>
      <c r="N35" s="302"/>
      <c r="O35" s="302"/>
      <c r="P35" s="302"/>
      <c r="Q35" s="303"/>
      <c r="R35" s="302"/>
      <c r="S35" s="302"/>
      <c r="T35" s="302"/>
      <c r="U35" s="304"/>
      <c r="V35" s="302"/>
      <c r="W35" s="93"/>
    </row>
    <row r="36" spans="1:23" ht="20.25">
      <c r="A36" s="176"/>
      <c r="B36" s="12"/>
      <c r="C36" s="161"/>
      <c r="D36" s="12"/>
      <c r="E36" s="159"/>
      <c r="F36" s="153"/>
      <c r="G36" s="153"/>
      <c r="H36" s="195"/>
      <c r="I36" s="169"/>
      <c r="J36" s="177"/>
      <c r="K36" s="173"/>
      <c r="L36" s="84"/>
      <c r="M36" s="94" t="s">
        <v>127</v>
      </c>
      <c r="N36" s="95"/>
      <c r="O36" s="95"/>
      <c r="P36" s="95"/>
      <c r="Q36" s="95"/>
      <c r="R36" s="95"/>
      <c r="S36" s="95"/>
      <c r="T36" s="95"/>
      <c r="U36" s="95"/>
      <c r="V36" s="208"/>
      <c r="W36" s="93"/>
    </row>
    <row r="37" spans="1:23" ht="12.75">
      <c r="A37" s="176"/>
      <c r="B37" s="12"/>
      <c r="C37" s="161"/>
      <c r="D37" s="12"/>
      <c r="E37" s="159"/>
      <c r="F37" s="153"/>
      <c r="G37" s="153"/>
      <c r="H37" s="195"/>
      <c r="I37" s="169"/>
      <c r="J37" s="177"/>
      <c r="K37" s="173"/>
      <c r="L37" s="84"/>
      <c r="M37" s="209"/>
      <c r="N37" s="210"/>
      <c r="O37" s="210"/>
      <c r="P37" s="210"/>
      <c r="Q37" s="210"/>
      <c r="R37" s="210"/>
      <c r="S37" s="210"/>
      <c r="T37" s="210"/>
      <c r="U37" s="210"/>
      <c r="V37" s="210"/>
      <c r="W37" s="93"/>
    </row>
    <row r="38" spans="1:23" ht="12.75">
      <c r="A38" s="176"/>
      <c r="B38" s="12"/>
      <c r="C38" s="161"/>
      <c r="D38" s="12"/>
      <c r="E38" s="159"/>
      <c r="F38" s="153"/>
      <c r="G38" s="153"/>
      <c r="H38" s="195"/>
      <c r="I38" s="169"/>
      <c r="J38" s="177"/>
      <c r="K38" s="173"/>
      <c r="L38" s="84"/>
      <c r="M38" s="188"/>
      <c r="N38" s="106"/>
      <c r="O38" s="133"/>
      <c r="P38" s="133"/>
      <c r="Q38" s="133"/>
      <c r="R38" s="136"/>
      <c r="S38" s="134"/>
      <c r="T38" s="133"/>
      <c r="U38" s="135" t="s">
        <v>64</v>
      </c>
      <c r="V38" s="211"/>
      <c r="W38" s="93"/>
    </row>
    <row r="39" spans="1:23" ht="12.75">
      <c r="A39" s="176"/>
      <c r="B39" s="12"/>
      <c r="C39" s="161"/>
      <c r="D39" s="12"/>
      <c r="E39" s="159"/>
      <c r="F39" s="153"/>
      <c r="G39" s="153"/>
      <c r="H39" s="195"/>
      <c r="I39" s="169"/>
      <c r="J39" s="177"/>
      <c r="K39" s="173"/>
      <c r="L39" s="84"/>
      <c r="M39" s="197"/>
      <c r="N39" s="113"/>
      <c r="O39" s="148"/>
      <c r="P39" s="148"/>
      <c r="Q39" s="148"/>
      <c r="R39" s="156"/>
      <c r="S39" s="233"/>
      <c r="T39" s="148"/>
      <c r="U39" s="179"/>
      <c r="V39" s="298"/>
      <c r="W39" s="93"/>
    </row>
    <row r="40" spans="1:23" ht="12.75">
      <c r="A40" s="176"/>
      <c r="B40" s="12"/>
      <c r="C40" s="161"/>
      <c r="D40" s="12"/>
      <c r="E40" s="159"/>
      <c r="F40" s="153"/>
      <c r="G40" s="153"/>
      <c r="H40" s="195"/>
      <c r="I40" s="169"/>
      <c r="J40" s="177"/>
      <c r="K40" s="173"/>
      <c r="L40" s="84"/>
      <c r="M40" s="197"/>
      <c r="N40" s="113"/>
      <c r="O40" s="148"/>
      <c r="P40" s="148"/>
      <c r="Q40" s="148"/>
      <c r="R40" s="156"/>
      <c r="S40" s="233"/>
      <c r="T40" s="148"/>
      <c r="U40" s="12" t="s">
        <v>72</v>
      </c>
      <c r="V40" s="298"/>
      <c r="W40" s="93"/>
    </row>
    <row r="41" spans="1:23" ht="12.75">
      <c r="A41" s="101"/>
      <c r="B41" s="212"/>
      <c r="C41" s="212"/>
      <c r="D41" s="212"/>
      <c r="E41" s="212"/>
      <c r="F41" s="212"/>
      <c r="G41" s="212"/>
      <c r="H41" s="213"/>
      <c r="I41" s="214"/>
      <c r="J41" s="214"/>
      <c r="K41" s="93"/>
      <c r="L41" s="84"/>
      <c r="M41" s="197"/>
      <c r="N41" s="113"/>
      <c r="O41" s="12" t="s">
        <v>75</v>
      </c>
      <c r="P41" s="12" t="s">
        <v>67</v>
      </c>
      <c r="Q41" s="12" t="s">
        <v>69</v>
      </c>
      <c r="R41" s="815" t="s">
        <v>128</v>
      </c>
      <c r="S41" s="816"/>
      <c r="T41" s="12" t="s">
        <v>71</v>
      </c>
      <c r="U41" s="12"/>
      <c r="V41" s="177" t="s">
        <v>129</v>
      </c>
      <c r="W41" s="215"/>
    </row>
    <row r="42" spans="1:23" ht="12.75">
      <c r="A42" s="101"/>
      <c r="B42" s="212"/>
      <c r="C42" s="212"/>
      <c r="D42" s="212"/>
      <c r="E42" s="212"/>
      <c r="F42" s="212"/>
      <c r="G42" s="212"/>
      <c r="H42" s="213"/>
      <c r="I42" s="214"/>
      <c r="J42" s="214"/>
      <c r="K42" s="93"/>
      <c r="L42" s="84"/>
      <c r="M42" s="209"/>
      <c r="N42" s="210"/>
      <c r="O42" s="150"/>
      <c r="P42" s="150"/>
      <c r="Q42" s="150"/>
      <c r="R42" s="151"/>
      <c r="S42" s="217"/>
      <c r="T42" s="150"/>
      <c r="U42" s="144" t="s">
        <v>74</v>
      </c>
      <c r="V42" s="151"/>
      <c r="W42" s="103"/>
    </row>
    <row r="43" spans="1:23" ht="12.75">
      <c r="A43" s="152"/>
      <c r="B43" s="148"/>
      <c r="C43" s="179"/>
      <c r="D43" s="148"/>
      <c r="E43" s="148"/>
      <c r="F43" s="148"/>
      <c r="G43" s="148"/>
      <c r="H43" s="148"/>
      <c r="I43" s="179"/>
      <c r="J43" s="187"/>
      <c r="K43" s="173"/>
      <c r="L43" s="84"/>
      <c r="M43" s="197"/>
      <c r="N43" s="113"/>
      <c r="O43" s="148"/>
      <c r="P43" s="133"/>
      <c r="Q43" s="154" t="s">
        <v>130</v>
      </c>
      <c r="R43" s="218" t="s">
        <v>131</v>
      </c>
      <c r="S43" s="219"/>
      <c r="T43" s="220"/>
      <c r="U43" s="221"/>
      <c r="V43" s="39" t="s">
        <v>73</v>
      </c>
      <c r="W43" s="222"/>
    </row>
    <row r="44" spans="1:23" ht="12.75">
      <c r="A44" s="141"/>
      <c r="B44" s="142"/>
      <c r="C44" s="144"/>
      <c r="D44" s="142"/>
      <c r="E44" s="142"/>
      <c r="F44" s="223" t="s">
        <v>203</v>
      </c>
      <c r="G44" s="218" t="s">
        <v>450</v>
      </c>
      <c r="H44" s="224"/>
      <c r="I44" s="224"/>
      <c r="J44" s="225">
        <f>SUM(J32:J34)</f>
        <v>1489.71</v>
      </c>
      <c r="K44" s="196">
        <f>J44/V64</f>
        <v>0.4242</v>
      </c>
      <c r="L44" s="84"/>
      <c r="M44" s="197"/>
      <c r="N44" s="113"/>
      <c r="O44" s="148"/>
      <c r="P44" s="148"/>
      <c r="Q44" s="154" t="s">
        <v>133</v>
      </c>
      <c r="R44" s="226" t="s">
        <v>134</v>
      </c>
      <c r="S44" s="227"/>
      <c r="T44" s="179"/>
      <c r="U44" s="166">
        <f>V24</f>
        <v>1.3255</v>
      </c>
      <c r="V44" s="162">
        <f>$V$24</f>
        <v>1.3255</v>
      </c>
      <c r="W44" s="103"/>
    </row>
    <row r="45" spans="1:23" ht="12.75">
      <c r="A45" s="197"/>
      <c r="B45" s="113"/>
      <c r="C45" s="113"/>
      <c r="D45" s="113"/>
      <c r="E45" s="113"/>
      <c r="F45" s="154"/>
      <c r="G45" s="154"/>
      <c r="H45" s="154"/>
      <c r="I45" s="154"/>
      <c r="J45" s="127"/>
      <c r="K45" s="228"/>
      <c r="L45" s="84"/>
      <c r="M45" s="197"/>
      <c r="N45" s="113"/>
      <c r="O45" s="161"/>
      <c r="P45" s="12"/>
      <c r="Q45" s="154"/>
      <c r="R45" s="226"/>
      <c r="S45" s="227"/>
      <c r="T45" s="160"/>
      <c r="U45" s="179"/>
      <c r="V45" s="162"/>
      <c r="W45" s="163"/>
    </row>
    <row r="46" spans="1:23" ht="20.25">
      <c r="A46" s="229" t="s">
        <v>136</v>
      </c>
      <c r="B46" s="230"/>
      <c r="C46" s="230"/>
      <c r="D46" s="230"/>
      <c r="E46" s="230"/>
      <c r="F46" s="230"/>
      <c r="G46" s="230"/>
      <c r="H46" s="230"/>
      <c r="I46" s="230"/>
      <c r="J46" s="230"/>
      <c r="K46" s="192"/>
      <c r="L46" s="84"/>
      <c r="M46" s="197"/>
      <c r="N46" s="113"/>
      <c r="O46" s="161">
        <f>C53</f>
        <v>5.5</v>
      </c>
      <c r="P46" s="12" t="s">
        <v>51</v>
      </c>
      <c r="Q46" s="154" t="s">
        <v>135</v>
      </c>
      <c r="R46" s="226" t="s">
        <v>138</v>
      </c>
      <c r="S46" s="227"/>
      <c r="T46" s="160">
        <f>(+O46/100)</f>
        <v>0.055</v>
      </c>
      <c r="U46" s="179"/>
      <c r="V46" s="162">
        <f>(+V44*T46)</f>
        <v>0.0729</v>
      </c>
      <c r="W46" s="163">
        <f>V46*C10/V64</f>
        <v>0.0208</v>
      </c>
    </row>
    <row r="47" spans="1:23" ht="20.25">
      <c r="A47" s="197"/>
      <c r="B47" s="113"/>
      <c r="C47" s="113"/>
      <c r="D47" s="113"/>
      <c r="E47" s="113"/>
      <c r="F47" s="113"/>
      <c r="G47" s="155"/>
      <c r="H47" s="113"/>
      <c r="I47" s="113"/>
      <c r="J47" s="113"/>
      <c r="K47" s="97"/>
      <c r="L47" s="84"/>
      <c r="M47" s="197"/>
      <c r="N47" s="113"/>
      <c r="O47" s="161" t="s">
        <v>139</v>
      </c>
      <c r="P47" s="148"/>
      <c r="Q47" s="154" t="s">
        <v>137</v>
      </c>
      <c r="R47" s="226" t="s">
        <v>418</v>
      </c>
      <c r="S47" s="227"/>
      <c r="T47" s="179"/>
      <c r="U47" s="179"/>
      <c r="V47" s="162">
        <f>SUM(V44:V46)</f>
        <v>1.3984</v>
      </c>
      <c r="W47" s="163"/>
    </row>
    <row r="48" spans="1:23" ht="12.75">
      <c r="A48" s="188"/>
      <c r="B48" s="134"/>
      <c r="C48" s="133"/>
      <c r="D48" s="133"/>
      <c r="E48" s="133"/>
      <c r="F48" s="231"/>
      <c r="G48" s="182"/>
      <c r="H48" s="15"/>
      <c r="I48" s="135" t="s">
        <v>64</v>
      </c>
      <c r="J48" s="136"/>
      <c r="K48" s="117"/>
      <c r="L48" s="84"/>
      <c r="M48" s="197"/>
      <c r="N48" s="113"/>
      <c r="O48" s="161">
        <f>C56</f>
        <v>0</v>
      </c>
      <c r="P48" s="12" t="s">
        <v>51</v>
      </c>
      <c r="Q48" s="154" t="s">
        <v>140</v>
      </c>
      <c r="R48" s="226" t="s">
        <v>142</v>
      </c>
      <c r="S48" s="227"/>
      <c r="T48" s="160">
        <f>(+O48/100)</f>
        <v>0</v>
      </c>
      <c r="U48" s="232">
        <f>V47</f>
        <v>1.3984</v>
      </c>
      <c r="V48" s="162">
        <f>(+V47*T48)</f>
        <v>0</v>
      </c>
      <c r="W48" s="163">
        <f>V48*C10/V64</f>
        <v>0</v>
      </c>
    </row>
    <row r="49" spans="1:23" ht="12.75">
      <c r="A49" s="197"/>
      <c r="B49" s="233"/>
      <c r="C49" s="12" t="s">
        <v>75</v>
      </c>
      <c r="D49" s="12" t="s">
        <v>67</v>
      </c>
      <c r="E49" s="12" t="s">
        <v>69</v>
      </c>
      <c r="F49" s="815" t="s">
        <v>70</v>
      </c>
      <c r="G49" s="816"/>
      <c r="H49" s="12" t="s">
        <v>71</v>
      </c>
      <c r="I49" s="12" t="s">
        <v>72</v>
      </c>
      <c r="J49" s="138" t="s">
        <v>73</v>
      </c>
      <c r="K49" s="117"/>
      <c r="L49" s="84"/>
      <c r="M49" s="197"/>
      <c r="N49" s="113"/>
      <c r="O49" s="161" t="s">
        <v>139</v>
      </c>
      <c r="P49" s="148"/>
      <c r="Q49" s="154" t="s">
        <v>141</v>
      </c>
      <c r="R49" s="226" t="s">
        <v>419</v>
      </c>
      <c r="S49" s="227"/>
      <c r="T49" s="179"/>
      <c r="U49" s="179"/>
      <c r="V49" s="162">
        <f>SUM(V47:V48)</f>
        <v>1.3984</v>
      </c>
      <c r="W49" s="163"/>
    </row>
    <row r="50" spans="1:23" ht="12.75">
      <c r="A50" s="197"/>
      <c r="B50" s="233"/>
      <c r="C50" s="142"/>
      <c r="D50" s="142"/>
      <c r="E50" s="142"/>
      <c r="F50" s="145"/>
      <c r="G50" s="126"/>
      <c r="H50" s="150"/>
      <c r="I50" s="144" t="s">
        <v>74</v>
      </c>
      <c r="J50" s="145"/>
      <c r="K50" s="234"/>
      <c r="L50" s="84"/>
      <c r="M50" s="197"/>
      <c r="N50" s="113"/>
      <c r="O50" s="161">
        <f>C59</f>
        <v>9</v>
      </c>
      <c r="P50" s="12" t="s">
        <v>51</v>
      </c>
      <c r="Q50" s="154" t="s">
        <v>143</v>
      </c>
      <c r="R50" s="226" t="s">
        <v>145</v>
      </c>
      <c r="S50" s="227"/>
      <c r="T50" s="160">
        <f>(+O50/100)</f>
        <v>0.09</v>
      </c>
      <c r="U50" s="232">
        <f>V49</f>
        <v>1.3984</v>
      </c>
      <c r="V50" s="162">
        <f>(+V49*T50)</f>
        <v>0.1259</v>
      </c>
      <c r="W50" s="163">
        <f>V50*C10/V64</f>
        <v>0.0359</v>
      </c>
    </row>
    <row r="51" spans="1:23" ht="12.75">
      <c r="A51" s="197"/>
      <c r="B51" s="233"/>
      <c r="C51" s="148"/>
      <c r="D51" s="148"/>
      <c r="E51" s="153" t="s">
        <v>146</v>
      </c>
      <c r="F51" s="181" t="s">
        <v>176</v>
      </c>
      <c r="G51" s="106"/>
      <c r="H51" s="235"/>
      <c r="I51" s="161">
        <f>J44</f>
        <v>1489.71</v>
      </c>
      <c r="J51" s="236">
        <f>J44</f>
        <v>1489.71</v>
      </c>
      <c r="K51" s="117"/>
      <c r="L51" s="84"/>
      <c r="M51" s="197"/>
      <c r="N51" s="113"/>
      <c r="O51" s="161" t="s">
        <v>139</v>
      </c>
      <c r="P51" s="148"/>
      <c r="Q51" s="154" t="s">
        <v>144</v>
      </c>
      <c r="R51" s="226" t="s">
        <v>420</v>
      </c>
      <c r="S51" s="227"/>
      <c r="T51" s="179"/>
      <c r="U51" s="179"/>
      <c r="V51" s="162">
        <f>SUM(V49:V50)</f>
        <v>1.5243</v>
      </c>
      <c r="W51" s="163"/>
    </row>
    <row r="52" spans="1:23" ht="12.75">
      <c r="A52" s="197"/>
      <c r="B52" s="233"/>
      <c r="C52" s="706"/>
      <c r="D52" s="12"/>
      <c r="E52" s="153"/>
      <c r="F52" s="226"/>
      <c r="G52" s="227"/>
      <c r="H52" s="160"/>
      <c r="I52" s="179"/>
      <c r="J52" s="177"/>
      <c r="K52" s="173"/>
      <c r="L52" s="84"/>
      <c r="M52" s="197"/>
      <c r="N52" s="113"/>
      <c r="O52" s="161">
        <f>C62</f>
        <v>7.81</v>
      </c>
      <c r="P52" s="12" t="s">
        <v>51</v>
      </c>
      <c r="Q52" s="154" t="s">
        <v>150</v>
      </c>
      <c r="R52" s="226" t="s">
        <v>151</v>
      </c>
      <c r="S52" s="227"/>
      <c r="T52" s="160">
        <f>(+O52/100)</f>
        <v>0.0781</v>
      </c>
      <c r="U52" s="179"/>
      <c r="V52" s="162">
        <f>(+V54*T52)</f>
        <v>0.1291</v>
      </c>
      <c r="W52" s="163">
        <f>V52*C10/V64</f>
        <v>0.0368</v>
      </c>
    </row>
    <row r="53" spans="1:23" ht="12.75">
      <c r="A53" s="197"/>
      <c r="B53" s="233"/>
      <c r="C53" s="237">
        <v>5.5</v>
      </c>
      <c r="D53" s="12" t="s">
        <v>51</v>
      </c>
      <c r="E53" s="153" t="s">
        <v>149</v>
      </c>
      <c r="F53" s="226" t="s">
        <v>138</v>
      </c>
      <c r="G53" s="227"/>
      <c r="H53" s="160">
        <f>(C53/100)</f>
        <v>0.055</v>
      </c>
      <c r="I53" s="179"/>
      <c r="J53" s="177">
        <f>(+J51*H53)</f>
        <v>81.93</v>
      </c>
      <c r="K53" s="173">
        <f>J53/V64</f>
        <v>0.0233</v>
      </c>
      <c r="L53" s="84"/>
      <c r="M53" s="197"/>
      <c r="N53" s="113"/>
      <c r="O53" s="161" t="s">
        <v>139</v>
      </c>
      <c r="P53" s="148"/>
      <c r="Q53" s="113"/>
      <c r="R53" s="156"/>
      <c r="S53" s="233"/>
      <c r="T53" s="179"/>
      <c r="U53" s="179"/>
      <c r="V53" s="162"/>
      <c r="W53" s="146"/>
    </row>
    <row r="54" spans="1:25" ht="12.75">
      <c r="A54" s="197"/>
      <c r="B54" s="233"/>
      <c r="C54" s="161" t="s">
        <v>139</v>
      </c>
      <c r="D54" s="148"/>
      <c r="E54" s="148"/>
      <c r="F54" s="156"/>
      <c r="G54" s="113"/>
      <c r="H54" s="160"/>
      <c r="I54" s="161"/>
      <c r="J54" s="177"/>
      <c r="K54" s="238"/>
      <c r="L54" s="84"/>
      <c r="M54" s="239"/>
      <c r="N54" s="126"/>
      <c r="O54" s="240" t="s">
        <v>139</v>
      </c>
      <c r="P54" s="142"/>
      <c r="Q54" s="241" t="s">
        <v>148</v>
      </c>
      <c r="R54" s="218" t="s">
        <v>421</v>
      </c>
      <c r="S54" s="221"/>
      <c r="T54" s="242"/>
      <c r="U54" s="220"/>
      <c r="V54" s="243">
        <f>V51/(1-T52)</f>
        <v>1.6534</v>
      </c>
      <c r="W54" s="244">
        <f>V54*C10/V64</f>
        <v>0.4708</v>
      </c>
      <c r="Y54" s="178"/>
    </row>
    <row r="55" spans="1:23" ht="12.75">
      <c r="A55" s="197"/>
      <c r="B55" s="233"/>
      <c r="C55" s="245"/>
      <c r="D55" s="148"/>
      <c r="E55" s="153" t="s">
        <v>152</v>
      </c>
      <c r="F55" s="226" t="s">
        <v>424</v>
      </c>
      <c r="G55" s="113"/>
      <c r="H55" s="160"/>
      <c r="I55" s="179"/>
      <c r="J55" s="177">
        <f>SUM(J51:J53)</f>
        <v>1571.64</v>
      </c>
      <c r="K55" s="173"/>
      <c r="L55" s="84"/>
      <c r="M55" s="193"/>
      <c r="N55" s="194"/>
      <c r="O55" s="194"/>
      <c r="P55" s="194"/>
      <c r="Q55" s="194"/>
      <c r="R55" s="194"/>
      <c r="S55" s="194"/>
      <c r="T55" s="194"/>
      <c r="U55" s="194"/>
      <c r="V55" s="194"/>
      <c r="W55" s="103"/>
    </row>
    <row r="56" spans="1:23" ht="12.75">
      <c r="A56" s="197"/>
      <c r="B56" s="233"/>
      <c r="C56" s="161">
        <v>0</v>
      </c>
      <c r="D56" s="12" t="s">
        <v>51</v>
      </c>
      <c r="E56" s="153" t="s">
        <v>154</v>
      </c>
      <c r="F56" s="226" t="s">
        <v>142</v>
      </c>
      <c r="G56" s="227"/>
      <c r="H56" s="160">
        <f>(C56/100)</f>
        <v>0</v>
      </c>
      <c r="I56" s="246">
        <f>J55</f>
        <v>1571.64</v>
      </c>
      <c r="J56" s="177">
        <f>(+J55*H56)</f>
        <v>0</v>
      </c>
      <c r="K56" s="173">
        <f>J56/V64</f>
        <v>0</v>
      </c>
      <c r="L56" s="84"/>
      <c r="M56" s="197"/>
      <c r="N56" s="113"/>
      <c r="O56" s="113"/>
      <c r="P56" s="113"/>
      <c r="Q56" s="113"/>
      <c r="R56" s="113"/>
      <c r="S56" s="113"/>
      <c r="T56" s="113"/>
      <c r="U56" s="113"/>
      <c r="V56" s="113"/>
      <c r="W56" s="103"/>
    </row>
    <row r="57" spans="1:23" ht="13.5" thickBot="1">
      <c r="A57" s="197"/>
      <c r="B57" s="233"/>
      <c r="C57" s="161" t="s">
        <v>139</v>
      </c>
      <c r="D57" s="148"/>
      <c r="E57" s="148"/>
      <c r="F57" s="156"/>
      <c r="G57" s="113"/>
      <c r="H57" s="160"/>
      <c r="I57" s="161"/>
      <c r="J57" s="177"/>
      <c r="K57" s="238"/>
      <c r="L57" s="84"/>
      <c r="M57" s="197"/>
      <c r="N57" s="113"/>
      <c r="O57" s="113"/>
      <c r="P57" s="113"/>
      <c r="Q57" s="113"/>
      <c r="R57" s="113"/>
      <c r="S57" s="113"/>
      <c r="T57" s="113"/>
      <c r="U57" s="113"/>
      <c r="V57" s="113"/>
      <c r="W57" s="103"/>
    </row>
    <row r="58" spans="1:23" ht="20.25">
      <c r="A58" s="197"/>
      <c r="B58" s="233"/>
      <c r="C58" s="161" t="s">
        <v>139</v>
      </c>
      <c r="D58" s="148"/>
      <c r="E58" s="153" t="s">
        <v>155</v>
      </c>
      <c r="F58" s="226" t="s">
        <v>425</v>
      </c>
      <c r="G58" s="113"/>
      <c r="H58" s="160"/>
      <c r="I58" s="179"/>
      <c r="J58" s="177">
        <f>SUM(J55:J56)</f>
        <v>1571.64</v>
      </c>
      <c r="K58" s="238"/>
      <c r="L58" s="84"/>
      <c r="M58" s="197"/>
      <c r="N58" s="113"/>
      <c r="O58" s="113"/>
      <c r="P58" s="113"/>
      <c r="Q58" s="247" t="s">
        <v>157</v>
      </c>
      <c r="R58" s="248"/>
      <c r="S58" s="248"/>
      <c r="T58" s="248"/>
      <c r="U58" s="248"/>
      <c r="V58" s="248"/>
      <c r="W58" s="103"/>
    </row>
    <row r="59" spans="1:23" ht="13.5" thickBot="1">
      <c r="A59" s="197"/>
      <c r="B59" s="233"/>
      <c r="C59" s="237">
        <v>9</v>
      </c>
      <c r="D59" s="12" t="s">
        <v>51</v>
      </c>
      <c r="E59" s="153" t="s">
        <v>156</v>
      </c>
      <c r="F59" s="226" t="s">
        <v>427</v>
      </c>
      <c r="G59" s="227"/>
      <c r="H59" s="160">
        <f>(C59/100)</f>
        <v>0.09</v>
      </c>
      <c r="I59" s="246">
        <f>J58</f>
        <v>1571.64</v>
      </c>
      <c r="J59" s="177">
        <f>(+J58*H59)</f>
        <v>141.45</v>
      </c>
      <c r="K59" s="173">
        <f>J59/V64</f>
        <v>0.0403</v>
      </c>
      <c r="L59" s="84"/>
      <c r="M59" s="197"/>
      <c r="N59" s="113"/>
      <c r="O59" s="113"/>
      <c r="P59" s="113"/>
      <c r="Q59" s="249"/>
      <c r="R59" s="250"/>
      <c r="S59" s="250"/>
      <c r="T59" s="250"/>
      <c r="U59" s="250"/>
      <c r="V59" s="250"/>
      <c r="W59" s="103"/>
    </row>
    <row r="60" spans="1:23" ht="13.5" thickBot="1">
      <c r="A60" s="197"/>
      <c r="B60" s="233"/>
      <c r="C60" s="161" t="s">
        <v>139</v>
      </c>
      <c r="D60" s="148"/>
      <c r="E60" s="148"/>
      <c r="F60" s="156"/>
      <c r="G60" s="113"/>
      <c r="H60" s="160"/>
      <c r="I60" s="179"/>
      <c r="J60" s="177"/>
      <c r="K60" s="238"/>
      <c r="L60" s="84"/>
      <c r="M60" s="197"/>
      <c r="N60" s="113"/>
      <c r="O60" s="113"/>
      <c r="P60" s="113"/>
      <c r="Q60" s="731" t="s">
        <v>422</v>
      </c>
      <c r="R60" s="251" t="s">
        <v>431</v>
      </c>
      <c r="S60" s="252"/>
      <c r="T60" s="252"/>
      <c r="U60" s="252"/>
      <c r="V60" s="253">
        <f>C10*V54</f>
        <v>1653.4</v>
      </c>
      <c r="W60" s="254">
        <f>V60/V64</f>
        <v>0.4708</v>
      </c>
    </row>
    <row r="61" spans="1:23" ht="13.5" thickBot="1">
      <c r="A61" s="197"/>
      <c r="B61" s="233"/>
      <c r="C61" s="161" t="s">
        <v>139</v>
      </c>
      <c r="D61" s="148"/>
      <c r="E61" s="153" t="s">
        <v>158</v>
      </c>
      <c r="F61" s="226" t="s">
        <v>162</v>
      </c>
      <c r="G61" s="113"/>
      <c r="H61" s="160"/>
      <c r="I61" s="179"/>
      <c r="J61" s="177">
        <f>SUM(J58:J59)</f>
        <v>1713.09</v>
      </c>
      <c r="K61" s="238"/>
      <c r="L61" s="84"/>
      <c r="M61" s="197"/>
      <c r="N61" s="113"/>
      <c r="O61" s="113"/>
      <c r="P61" s="113"/>
      <c r="Q61" s="732" t="s">
        <v>159</v>
      </c>
      <c r="R61" s="154" t="s">
        <v>164</v>
      </c>
      <c r="S61" s="113"/>
      <c r="T61" s="113"/>
      <c r="U61" s="154"/>
      <c r="V61" s="127">
        <f>J64</f>
        <v>1858.22</v>
      </c>
      <c r="W61" s="254">
        <f>V61/V64</f>
        <v>0.5292</v>
      </c>
    </row>
    <row r="62" spans="1:23" ht="12.75">
      <c r="A62" s="197"/>
      <c r="B62" s="233"/>
      <c r="C62" s="255">
        <f>(15%*C59)+(9%*C59)+3.65+2</f>
        <v>7.81</v>
      </c>
      <c r="D62" s="12" t="s">
        <v>51</v>
      </c>
      <c r="E62" s="153" t="s">
        <v>165</v>
      </c>
      <c r="F62" s="226" t="s">
        <v>151</v>
      </c>
      <c r="G62" s="227"/>
      <c r="H62" s="160">
        <f>(C62/100)</f>
        <v>0.0781</v>
      </c>
      <c r="I62" s="179"/>
      <c r="J62" s="177">
        <f>(+J64*H62)</f>
        <v>145.13</v>
      </c>
      <c r="K62" s="173">
        <f>J62/V64</f>
        <v>0.0413</v>
      </c>
      <c r="L62" s="84"/>
      <c r="M62" s="197"/>
      <c r="N62" s="113"/>
      <c r="O62" s="113"/>
      <c r="P62" s="113"/>
      <c r="Q62" s="256"/>
      <c r="R62" s="257"/>
      <c r="S62" s="130"/>
      <c r="T62" s="130"/>
      <c r="U62" s="257"/>
      <c r="V62" s="258"/>
      <c r="W62" s="103"/>
    </row>
    <row r="63" spans="1:23" ht="13.5" thickBot="1">
      <c r="A63" s="197"/>
      <c r="B63" s="233"/>
      <c r="C63" s="161" t="s">
        <v>139</v>
      </c>
      <c r="D63" s="148"/>
      <c r="E63" s="148"/>
      <c r="F63" s="156"/>
      <c r="G63" s="113"/>
      <c r="H63" s="179"/>
      <c r="I63" s="179"/>
      <c r="J63" s="177"/>
      <c r="K63" s="238"/>
      <c r="L63" s="84"/>
      <c r="M63" s="197"/>
      <c r="N63" s="113"/>
      <c r="O63" s="113"/>
      <c r="P63" s="113"/>
      <c r="Q63" s="197"/>
      <c r="R63" s="113"/>
      <c r="S63" s="113"/>
      <c r="T63" s="113"/>
      <c r="U63" s="113"/>
      <c r="V63" s="155"/>
      <c r="W63" s="259"/>
    </row>
    <row r="64" spans="1:23" ht="16.5" thickBot="1">
      <c r="A64" s="260"/>
      <c r="B64" s="261"/>
      <c r="C64" s="262" t="s">
        <v>139</v>
      </c>
      <c r="D64" s="263"/>
      <c r="E64" s="264" t="s">
        <v>161</v>
      </c>
      <c r="F64" s="265" t="s">
        <v>426</v>
      </c>
      <c r="G64" s="266"/>
      <c r="H64" s="266"/>
      <c r="I64" s="266"/>
      <c r="J64" s="267">
        <f>J61/(1-H62)</f>
        <v>1858.22</v>
      </c>
      <c r="K64" s="268">
        <f>J64/V64</f>
        <v>0.5292</v>
      </c>
      <c r="L64" s="84"/>
      <c r="M64" s="260"/>
      <c r="N64" s="269"/>
      <c r="O64" s="269"/>
      <c r="P64" s="269"/>
      <c r="Q64" s="270" t="s">
        <v>163</v>
      </c>
      <c r="R64" s="271" t="s">
        <v>423</v>
      </c>
      <c r="S64" s="307"/>
      <c r="T64" s="307"/>
      <c r="U64" s="306"/>
      <c r="V64" s="273">
        <f>V60+J64</f>
        <v>3511.62</v>
      </c>
      <c r="W64" s="274">
        <f>SUM(W60:W63)</f>
        <v>1</v>
      </c>
    </row>
    <row r="66" ht="15.75">
      <c r="A66" s="69" t="s">
        <v>169</v>
      </c>
    </row>
    <row r="68" spans="1:19" ht="15.75">
      <c r="A68" s="69" t="str">
        <f>'Trator de Esteira'!A61</f>
        <v>Patos de Minas-MG, 16 de Novembro de 2015.</v>
      </c>
      <c r="G68" s="13"/>
      <c r="M68" s="11"/>
      <c r="S68" s="13"/>
    </row>
    <row r="69" spans="7:19" ht="15">
      <c r="G69" s="11"/>
      <c r="H69" s="11"/>
      <c r="I69" s="11"/>
      <c r="S69" s="11"/>
    </row>
    <row r="70" spans="7:19" ht="15">
      <c r="G70" s="11"/>
      <c r="H70" s="11"/>
      <c r="I70" s="11"/>
      <c r="S70" s="11"/>
    </row>
    <row r="74" spans="1:10" ht="12">
      <c r="A74" s="275"/>
      <c r="B74" s="275"/>
      <c r="C74" s="275"/>
      <c r="D74" s="275"/>
      <c r="E74" s="275"/>
      <c r="F74" s="275"/>
      <c r="G74" s="275"/>
      <c r="H74" s="275"/>
      <c r="I74" s="275"/>
      <c r="J74" s="275"/>
    </row>
    <row r="98" ht="2.25" customHeight="1"/>
    <row r="99" ht="12.75" customHeight="1"/>
    <row r="100" ht="0.75" customHeight="1"/>
    <row r="125" spans="12:15" ht="12.75">
      <c r="L125" s="276"/>
      <c r="M125" s="277"/>
      <c r="N125" s="276"/>
      <c r="O125" s="277"/>
    </row>
    <row r="126" spans="12:15" ht="12.75">
      <c r="L126" s="276"/>
      <c r="M126" s="276"/>
      <c r="N126" s="276"/>
      <c r="O126" s="278"/>
    </row>
    <row r="127" spans="12:15" ht="12.75">
      <c r="L127" s="276"/>
      <c r="M127" s="276"/>
      <c r="N127" s="276"/>
      <c r="O127" s="278"/>
    </row>
    <row r="128" spans="12:15" ht="12.75">
      <c r="L128" s="276"/>
      <c r="M128" s="276"/>
      <c r="N128" s="276"/>
      <c r="O128" s="278"/>
    </row>
    <row r="129" spans="12:15" ht="12.75">
      <c r="L129" s="2"/>
      <c r="M129" s="2"/>
      <c r="N129" s="2"/>
      <c r="O129" s="279"/>
    </row>
    <row r="130" spans="1:11" ht="12.75">
      <c r="A130" s="276"/>
      <c r="B130" s="276"/>
      <c r="C130" s="276"/>
      <c r="D130" s="276"/>
      <c r="E130" s="280"/>
      <c r="F130" s="280"/>
      <c r="G130" s="280"/>
      <c r="H130" s="280"/>
      <c r="I130" s="280"/>
      <c r="J130" s="280"/>
      <c r="K130" s="280"/>
    </row>
    <row r="131" spans="1:12" ht="12.75">
      <c r="A131" s="276"/>
      <c r="B131" s="276"/>
      <c r="C131" s="276"/>
      <c r="D131" s="276"/>
      <c r="E131" s="276"/>
      <c r="F131" s="276"/>
      <c r="G131" s="276"/>
      <c r="H131" s="276"/>
      <c r="I131" s="276"/>
      <c r="J131" s="281"/>
      <c r="K131" s="281"/>
      <c r="L131" s="178"/>
    </row>
    <row r="132" spans="1:11" ht="12.7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</row>
    <row r="133" spans="1:11" ht="12.7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</row>
    <row r="134" spans="1:11" ht="12.75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</row>
    <row r="135" spans="1:11" ht="12.75">
      <c r="A135" s="276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</row>
    <row r="136" spans="1:12" ht="12.75">
      <c r="A136" s="2"/>
      <c r="B136" s="2"/>
      <c r="C136" s="2"/>
      <c r="D136" s="2"/>
      <c r="E136" s="28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83"/>
      <c r="F137" s="283"/>
      <c r="G137" s="283"/>
      <c r="H137" s="283"/>
      <c r="I137" s="2"/>
      <c r="J137" s="2"/>
      <c r="K137" s="2"/>
      <c r="L137" s="4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83"/>
      <c r="B139" s="283"/>
      <c r="C139" s="283"/>
      <c r="D139" s="283"/>
      <c r="E139" s="283"/>
      <c r="F139" s="283"/>
      <c r="G139" s="283"/>
      <c r="H139" s="283"/>
      <c r="I139" s="283"/>
      <c r="J139" s="283"/>
      <c r="K139" s="283"/>
      <c r="L139" s="4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"/>
      <c r="B142" s="5"/>
      <c r="C142" s="2"/>
      <c r="D142" s="279"/>
      <c r="E142" s="2"/>
      <c r="F142" s="2"/>
      <c r="G142" s="2"/>
      <c r="H142" s="2"/>
      <c r="I142" s="2"/>
      <c r="J142" s="2"/>
      <c r="K142" s="2"/>
      <c r="L142" s="4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"/>
    </row>
    <row r="145" spans="1:12" ht="12.75">
      <c r="A145" s="2"/>
      <c r="B145" s="5"/>
      <c r="C145" s="2"/>
      <c r="D145" s="279"/>
      <c r="E145" s="2"/>
      <c r="F145" s="2"/>
      <c r="G145" s="2"/>
      <c r="H145" s="2"/>
      <c r="I145" s="2"/>
      <c r="J145" s="2"/>
      <c r="K145" s="2"/>
      <c r="L145" s="4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"/>
    </row>
    <row r="147" spans="1:12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">
      <c r="A148" s="4"/>
      <c r="B148" s="6"/>
      <c r="C148" s="4"/>
      <c r="D148" s="284"/>
      <c r="E148" s="4"/>
      <c r="F148" s="4"/>
      <c r="G148" s="4"/>
      <c r="H148" s="4"/>
      <c r="I148" s="4"/>
      <c r="J148" s="4"/>
      <c r="K148" s="4"/>
      <c r="L148" s="4"/>
    </row>
    <row r="149" spans="1:12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4"/>
    </row>
    <row r="152" spans="1:12" ht="12">
      <c r="A152" s="4"/>
      <c r="B152" s="4"/>
      <c r="C152" s="6"/>
      <c r="D152" s="4"/>
      <c r="E152" s="4"/>
      <c r="F152" s="4"/>
      <c r="G152" s="285"/>
      <c r="H152" s="285"/>
      <c r="L152" s="4"/>
    </row>
    <row r="153" spans="1:12" ht="12">
      <c r="A153" s="7"/>
      <c r="B153" s="7"/>
      <c r="C153" s="7"/>
      <c r="D153" s="7"/>
      <c r="E153" s="7"/>
      <c r="F153" s="7"/>
      <c r="G153" s="7"/>
      <c r="H153" s="7"/>
      <c r="L153" s="4"/>
    </row>
    <row r="154" spans="1:12" ht="12">
      <c r="A154" s="4"/>
      <c r="B154" s="4"/>
      <c r="C154" s="4"/>
      <c r="D154" s="4"/>
      <c r="E154" s="4"/>
      <c r="F154" s="4"/>
      <c r="G154" s="4"/>
      <c r="H154" s="4"/>
      <c r="L154" s="4"/>
    </row>
    <row r="155" spans="1:12" ht="12">
      <c r="A155" s="4"/>
      <c r="B155" s="4"/>
      <c r="C155" s="4"/>
      <c r="D155" s="4"/>
      <c r="E155" s="4"/>
      <c r="F155" s="4"/>
      <c r="G155" s="4"/>
      <c r="H155" s="4"/>
      <c r="L155" s="4"/>
    </row>
    <row r="156" spans="2:12" ht="12">
      <c r="B156" s="286"/>
      <c r="C156" s="287"/>
      <c r="G156" s="288"/>
      <c r="H156" s="287"/>
      <c r="L156" s="4"/>
    </row>
    <row r="157" spans="7:12" ht="12">
      <c r="G157" s="289"/>
      <c r="L157" s="4"/>
    </row>
    <row r="158" spans="7:12" ht="12">
      <c r="G158" s="289"/>
      <c r="L158" s="4"/>
    </row>
    <row r="159" spans="2:12" ht="12">
      <c r="B159" s="286"/>
      <c r="C159" s="287"/>
      <c r="G159" s="288"/>
      <c r="H159" s="287"/>
      <c r="L159" s="4"/>
    </row>
    <row r="160" spans="7:12" ht="12">
      <c r="G160" s="29"/>
      <c r="L160" s="4"/>
    </row>
    <row r="161" spans="7:12" ht="12">
      <c r="G161" s="29"/>
      <c r="L161" s="4"/>
    </row>
    <row r="162" spans="2:12" ht="12">
      <c r="B162" s="3"/>
      <c r="C162" s="290"/>
      <c r="G162" s="288"/>
      <c r="H162" s="287"/>
      <c r="L162" s="4"/>
    </row>
    <row r="163" spans="7:12" ht="12">
      <c r="G163" s="29"/>
      <c r="L163" s="4"/>
    </row>
    <row r="164" spans="7:12" ht="12">
      <c r="G164" s="29"/>
      <c r="L164" s="4"/>
    </row>
    <row r="165" spans="2:12" ht="12">
      <c r="B165" s="3"/>
      <c r="C165" s="291"/>
      <c r="G165" s="288"/>
      <c r="H165" s="292"/>
      <c r="L165" s="4"/>
    </row>
    <row r="166" spans="10:12" ht="12">
      <c r="J166" s="4"/>
      <c r="K166" s="4"/>
      <c r="L166" s="4"/>
    </row>
    <row r="167" spans="1:12" ht="12">
      <c r="A167" s="293"/>
      <c r="B167" s="293"/>
      <c r="C167" s="293"/>
      <c r="D167" s="293"/>
      <c r="E167" s="293"/>
      <c r="F167" s="293"/>
      <c r="G167" s="293"/>
      <c r="H167" s="293"/>
      <c r="I167" s="293"/>
      <c r="J167" s="7"/>
      <c r="K167" s="7"/>
      <c r="L167" s="4"/>
    </row>
    <row r="168" spans="10:12" ht="12">
      <c r="J168" s="4"/>
      <c r="K168" s="4"/>
      <c r="L168" s="4"/>
    </row>
    <row r="169" spans="2:12" ht="12">
      <c r="B169" s="286"/>
      <c r="D169" s="292"/>
      <c r="J169" s="4"/>
      <c r="K169" s="4"/>
      <c r="L169" s="4"/>
    </row>
    <row r="170" spans="10:12" ht="12">
      <c r="J170" s="4"/>
      <c r="K170" s="4"/>
      <c r="L170" s="4"/>
    </row>
    <row r="171" spans="1:12" ht="12">
      <c r="A171" s="293"/>
      <c r="B171" s="293"/>
      <c r="C171" s="293"/>
      <c r="D171" s="293"/>
      <c r="E171" s="293"/>
      <c r="F171" s="293"/>
      <c r="G171" s="293"/>
      <c r="H171" s="293"/>
      <c r="I171" s="293"/>
      <c r="J171" s="7"/>
      <c r="K171" s="7"/>
      <c r="L171" s="4"/>
    </row>
    <row r="172" spans="1:12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</sheetData>
  <sheetProtection password="F184" sheet="1"/>
  <mergeCells count="6">
    <mergeCell ref="R41:S41"/>
    <mergeCell ref="F49:G49"/>
    <mergeCell ref="A1:K1"/>
    <mergeCell ref="M1:W1"/>
    <mergeCell ref="A5:J5"/>
    <mergeCell ref="R11:S11"/>
  </mergeCells>
  <printOptions horizontalCentered="1"/>
  <pageMargins left="0" right="0" top="0.5905511811023623" bottom="0.1968503937007874" header="0.11811023622047245" footer="0.31496062992125984"/>
  <pageSetup horizontalDpi="600" verticalDpi="600" orientation="landscape" paperSize="9" scale="50" r:id="rId1"/>
  <headerFooter alignWithMargins="0">
    <oddHeader>&amp;CPágina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51">
      <selection activeCell="C57" sqref="C57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2" width="11.00390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812" t="s">
        <v>337</v>
      </c>
      <c r="B1" s="813"/>
      <c r="C1" s="813"/>
      <c r="D1" s="813"/>
      <c r="E1" s="813"/>
      <c r="F1" s="813"/>
      <c r="G1" s="813"/>
      <c r="H1" s="813"/>
      <c r="I1" s="813"/>
      <c r="J1" s="813"/>
      <c r="K1" s="814"/>
      <c r="L1" s="432"/>
      <c r="M1" s="806" t="str">
        <f>A1</f>
        <v>CUSTO  DE  VEÍCULO  DE  TRANSPORTE  DE  EQUIPE  DE  CAPINA</v>
      </c>
      <c r="N1" s="807"/>
      <c r="O1" s="807"/>
      <c r="P1" s="807"/>
      <c r="Q1" s="807"/>
      <c r="R1" s="807"/>
      <c r="S1" s="807"/>
      <c r="T1" s="807"/>
      <c r="U1" s="807"/>
      <c r="V1" s="807"/>
      <c r="W1" s="808"/>
    </row>
    <row r="2" spans="1:23" ht="20.25">
      <c r="A2" s="433" t="s">
        <v>222</v>
      </c>
      <c r="B2" s="434"/>
      <c r="C2" s="435"/>
      <c r="D2" s="434"/>
      <c r="E2" s="434"/>
      <c r="F2" s="434"/>
      <c r="G2" s="436"/>
      <c r="H2" s="434"/>
      <c r="I2" s="434"/>
      <c r="J2" s="434"/>
      <c r="K2" s="437"/>
      <c r="L2" s="432"/>
      <c r="M2" s="438" t="str">
        <f>A2</f>
        <v>DEMONSTRATIVO   MENSAL   DE   CUSTO   DE   SERVIÇOS</v>
      </c>
      <c r="N2" s="439"/>
      <c r="O2" s="439"/>
      <c r="P2" s="439"/>
      <c r="Q2" s="439"/>
      <c r="R2" s="439"/>
      <c r="S2" s="440"/>
      <c r="T2" s="439"/>
      <c r="U2" s="439"/>
      <c r="V2" s="439"/>
      <c r="W2" s="441"/>
    </row>
    <row r="3" spans="1:23" ht="21" thickBot="1">
      <c r="A3" s="442" t="s">
        <v>333</v>
      </c>
      <c r="B3" s="443"/>
      <c r="C3" s="443"/>
      <c r="D3" s="443"/>
      <c r="E3" s="444"/>
      <c r="F3" s="443"/>
      <c r="G3" s="443"/>
      <c r="H3" s="443"/>
      <c r="I3" s="443"/>
      <c r="J3" s="443"/>
      <c r="K3" s="445" t="s">
        <v>51</v>
      </c>
      <c r="L3" s="432"/>
      <c r="M3" s="446" t="s">
        <v>52</v>
      </c>
      <c r="N3" s="447"/>
      <c r="O3" s="447"/>
      <c r="P3" s="447"/>
      <c r="Q3" s="447"/>
      <c r="R3" s="447"/>
      <c r="S3" s="447"/>
      <c r="T3" s="447"/>
      <c r="U3" s="447"/>
      <c r="V3" s="447"/>
      <c r="W3" s="448" t="s">
        <v>51</v>
      </c>
    </row>
    <row r="4" spans="1:23" ht="12.75">
      <c r="A4" s="449"/>
      <c r="B4" s="450"/>
      <c r="C4" s="450"/>
      <c r="D4" s="450"/>
      <c r="E4" s="450"/>
      <c r="F4" s="450"/>
      <c r="G4" s="450"/>
      <c r="H4" s="450"/>
      <c r="I4" s="450"/>
      <c r="J4" s="450"/>
      <c r="K4" s="451"/>
      <c r="L4" s="432"/>
      <c r="M4" s="452" t="str">
        <f>A6</f>
        <v>Descrição do Veiculo: ÔNIBUS  MBB  1618   ou   SIMILAR</v>
      </c>
      <c r="N4" s="453"/>
      <c r="O4" s="453"/>
      <c r="P4" s="453"/>
      <c r="Q4" s="453"/>
      <c r="R4" s="453"/>
      <c r="S4" s="453"/>
      <c r="T4" s="453"/>
      <c r="U4" s="453"/>
      <c r="V4" s="454"/>
      <c r="W4" s="455"/>
    </row>
    <row r="5" spans="1:23" ht="20.25">
      <c r="A5" s="809" t="s">
        <v>53</v>
      </c>
      <c r="B5" s="810"/>
      <c r="C5" s="810"/>
      <c r="D5" s="810"/>
      <c r="E5" s="810"/>
      <c r="F5" s="810"/>
      <c r="G5" s="810"/>
      <c r="H5" s="810"/>
      <c r="I5" s="810"/>
      <c r="J5" s="811"/>
      <c r="K5" s="456"/>
      <c r="L5" s="432"/>
      <c r="M5" s="457" t="str">
        <f>A7</f>
        <v>Ano de Fabricação: 2000</v>
      </c>
      <c r="N5" s="458"/>
      <c r="O5" s="458" t="str">
        <f>A9</f>
        <v>Contratante:</v>
      </c>
      <c r="P5" s="459" t="str">
        <f>B9</f>
        <v>PREFEITURA   MUNICIPAL   DE   PATOS   DE   MINAS - MG</v>
      </c>
      <c r="Q5" s="460"/>
      <c r="R5" s="458"/>
      <c r="S5" s="458"/>
      <c r="T5" s="458"/>
      <c r="U5" s="458"/>
      <c r="V5" s="461"/>
      <c r="W5" s="451"/>
    </row>
    <row r="6" spans="1:23" ht="12.75">
      <c r="A6" s="452" t="s">
        <v>338</v>
      </c>
      <c r="B6" s="453"/>
      <c r="C6" s="453"/>
      <c r="D6" s="453"/>
      <c r="E6" s="462"/>
      <c r="F6" s="453"/>
      <c r="G6" s="453"/>
      <c r="H6" s="453"/>
      <c r="I6" s="453"/>
      <c r="J6" s="453"/>
      <c r="K6" s="463"/>
      <c r="L6" s="432"/>
      <c r="M6" s="457" t="str">
        <f>A8</f>
        <v>Tipo de Combustível: Diesel</v>
      </c>
      <c r="N6" s="458"/>
      <c r="O6" s="458"/>
      <c r="P6" s="458"/>
      <c r="Q6" s="464"/>
      <c r="R6" s="458"/>
      <c r="S6" s="458"/>
      <c r="T6" s="458"/>
      <c r="U6" s="458"/>
      <c r="V6" s="461"/>
      <c r="W6" s="451"/>
    </row>
    <row r="7" spans="1:23" ht="12.75">
      <c r="A7" s="457" t="s">
        <v>316</v>
      </c>
      <c r="B7" s="458"/>
      <c r="C7" s="458"/>
      <c r="D7" s="458"/>
      <c r="E7" s="458"/>
      <c r="F7" s="458"/>
      <c r="G7" s="458"/>
      <c r="H7" s="458"/>
      <c r="I7" s="458"/>
      <c r="J7" s="458"/>
      <c r="K7" s="465"/>
      <c r="L7" s="432"/>
      <c r="M7" s="466" t="str">
        <f>A10</f>
        <v>Km Estimada: </v>
      </c>
      <c r="N7" s="461"/>
      <c r="O7" s="467">
        <f>C10</f>
        <v>3500</v>
      </c>
      <c r="P7" s="461" t="str">
        <f>D10</f>
        <v>Km</v>
      </c>
      <c r="Q7" s="461"/>
      <c r="R7" s="461"/>
      <c r="S7" s="461"/>
      <c r="T7" s="461"/>
      <c r="U7" s="461"/>
      <c r="V7" s="461"/>
      <c r="W7" s="451"/>
    </row>
    <row r="8" spans="1:23" ht="12.75">
      <c r="A8" s="457" t="s">
        <v>56</v>
      </c>
      <c r="B8" s="458"/>
      <c r="C8" s="458"/>
      <c r="D8" s="458"/>
      <c r="E8" s="458"/>
      <c r="F8" s="458"/>
      <c r="G8" s="458"/>
      <c r="H8" s="458" t="s">
        <v>57</v>
      </c>
      <c r="I8" s="468">
        <v>0</v>
      </c>
      <c r="J8" s="458"/>
      <c r="K8" s="465"/>
      <c r="L8" s="432"/>
      <c r="M8" s="469" t="str">
        <f>A11</f>
        <v>Horário:</v>
      </c>
      <c r="N8" s="470">
        <v>0.333333333333333</v>
      </c>
      <c r="O8" s="471" t="s">
        <v>58</v>
      </c>
      <c r="P8" s="470">
        <f>D11</f>
        <v>0.708333333333333</v>
      </c>
      <c r="Q8" s="472" t="s">
        <v>59</v>
      </c>
      <c r="R8" s="473"/>
      <c r="S8" s="474"/>
      <c r="T8" s="474"/>
      <c r="U8" s="474"/>
      <c r="V8" s="474"/>
      <c r="W8" s="451"/>
    </row>
    <row r="9" spans="1:23" ht="15.75">
      <c r="A9" s="457" t="s">
        <v>60</v>
      </c>
      <c r="B9" s="459" t="s">
        <v>61</v>
      </c>
      <c r="C9" s="458"/>
      <c r="D9" s="458"/>
      <c r="E9" s="458"/>
      <c r="F9" s="458"/>
      <c r="G9" s="458"/>
      <c r="H9" s="458"/>
      <c r="I9" s="468"/>
      <c r="J9" s="458"/>
      <c r="K9" s="465"/>
      <c r="L9" s="432"/>
      <c r="M9" s="466"/>
      <c r="N9" s="475"/>
      <c r="O9" s="476"/>
      <c r="P9" s="475"/>
      <c r="Q9" s="477"/>
      <c r="R9" s="475"/>
      <c r="S9" s="461"/>
      <c r="T9" s="461"/>
      <c r="U9" s="461"/>
      <c r="V9" s="461"/>
      <c r="W9" s="451"/>
    </row>
    <row r="10" spans="1:28" ht="12.75">
      <c r="A10" s="457" t="s">
        <v>62</v>
      </c>
      <c r="B10" s="458"/>
      <c r="C10" s="478">
        <v>3500</v>
      </c>
      <c r="D10" s="458" t="s">
        <v>63</v>
      </c>
      <c r="E10" s="458"/>
      <c r="F10" s="458"/>
      <c r="G10" s="458"/>
      <c r="H10" s="458"/>
      <c r="I10" s="458"/>
      <c r="J10" s="458"/>
      <c r="K10" s="465"/>
      <c r="L10" s="432"/>
      <c r="M10" s="479"/>
      <c r="N10" s="480"/>
      <c r="O10" s="480"/>
      <c r="P10" s="480"/>
      <c r="Q10" s="480"/>
      <c r="R10" s="454"/>
      <c r="S10" s="481"/>
      <c r="T10" s="480"/>
      <c r="U10" s="482" t="s">
        <v>64</v>
      </c>
      <c r="V10" s="483"/>
      <c r="W10" s="451"/>
      <c r="AB10" s="1">
        <f>180.55*20</f>
        <v>3611</v>
      </c>
    </row>
    <row r="11" spans="1:28" ht="12.75">
      <c r="A11" s="469" t="s">
        <v>65</v>
      </c>
      <c r="B11" s="484">
        <v>0.291666666666667</v>
      </c>
      <c r="C11" s="471" t="s">
        <v>58</v>
      </c>
      <c r="D11" s="484">
        <v>0.708333333333333</v>
      </c>
      <c r="E11" s="472" t="s">
        <v>59</v>
      </c>
      <c r="F11" s="473" t="s">
        <v>335</v>
      </c>
      <c r="G11" s="474"/>
      <c r="H11" s="474"/>
      <c r="I11" s="474"/>
      <c r="J11" s="474"/>
      <c r="K11" s="465"/>
      <c r="L11" s="432"/>
      <c r="M11" s="485" t="s">
        <v>66</v>
      </c>
      <c r="N11" s="486" t="s">
        <v>67</v>
      </c>
      <c r="O11" s="486" t="s">
        <v>68</v>
      </c>
      <c r="P11" s="486" t="s">
        <v>67</v>
      </c>
      <c r="Q11" s="486" t="s">
        <v>69</v>
      </c>
      <c r="R11" s="801" t="s">
        <v>70</v>
      </c>
      <c r="S11" s="802"/>
      <c r="T11" s="486" t="s">
        <v>71</v>
      </c>
      <c r="U11" s="486" t="s">
        <v>72</v>
      </c>
      <c r="V11" s="487" t="s">
        <v>73</v>
      </c>
      <c r="W11" s="451"/>
      <c r="AB11" s="1">
        <f>1120.82*4</f>
        <v>4483.28</v>
      </c>
    </row>
    <row r="12" spans="1:23" ht="12.75">
      <c r="A12" s="488"/>
      <c r="B12" s="489"/>
      <c r="C12" s="489"/>
      <c r="D12" s="489"/>
      <c r="E12" s="489"/>
      <c r="F12" s="489"/>
      <c r="G12" s="489"/>
      <c r="H12" s="489"/>
      <c r="I12" s="482" t="s">
        <v>64</v>
      </c>
      <c r="J12" s="490"/>
      <c r="K12" s="491"/>
      <c r="L12" s="432"/>
      <c r="M12" s="492"/>
      <c r="N12" s="493"/>
      <c r="O12" s="493"/>
      <c r="P12" s="493"/>
      <c r="Q12" s="493"/>
      <c r="R12" s="474"/>
      <c r="S12" s="494"/>
      <c r="T12" s="493"/>
      <c r="U12" s="495" t="s">
        <v>74</v>
      </c>
      <c r="V12" s="496"/>
      <c r="W12" s="497"/>
    </row>
    <row r="13" spans="1:28" ht="12.75">
      <c r="A13" s="485" t="s">
        <v>75</v>
      </c>
      <c r="B13" s="486" t="s">
        <v>67</v>
      </c>
      <c r="C13" s="486" t="s">
        <v>76</v>
      </c>
      <c r="D13" s="486" t="s">
        <v>67</v>
      </c>
      <c r="E13" s="486" t="s">
        <v>66</v>
      </c>
      <c r="F13" s="486" t="s">
        <v>69</v>
      </c>
      <c r="G13" s="486" t="s">
        <v>70</v>
      </c>
      <c r="H13" s="486" t="s">
        <v>71</v>
      </c>
      <c r="I13" s="486" t="s">
        <v>72</v>
      </c>
      <c r="J13" s="487" t="s">
        <v>73</v>
      </c>
      <c r="K13" s="498"/>
      <c r="L13" s="432"/>
      <c r="M13" s="479"/>
      <c r="N13" s="480"/>
      <c r="O13" s="480"/>
      <c r="P13" s="499"/>
      <c r="Q13" s="499"/>
      <c r="R13" s="461"/>
      <c r="S13" s="461"/>
      <c r="T13" s="480"/>
      <c r="U13" s="499"/>
      <c r="V13" s="483"/>
      <c r="W13" s="451"/>
      <c r="AB13" s="1">
        <f>SUM(AB10:AB12)</f>
        <v>8094.28</v>
      </c>
    </row>
    <row r="14" spans="1:23" ht="12.75">
      <c r="A14" s="500"/>
      <c r="B14" s="501"/>
      <c r="C14" s="501"/>
      <c r="D14" s="501"/>
      <c r="E14" s="501"/>
      <c r="F14" s="501"/>
      <c r="G14" s="501"/>
      <c r="H14" s="501"/>
      <c r="I14" s="495" t="s">
        <v>74</v>
      </c>
      <c r="J14" s="502"/>
      <c r="K14" s="491"/>
      <c r="L14" s="432"/>
      <c r="M14" s="503"/>
      <c r="N14" s="499"/>
      <c r="O14" s="499"/>
      <c r="P14" s="499"/>
      <c r="Q14" s="504" t="s">
        <v>77</v>
      </c>
      <c r="R14" s="505" t="s">
        <v>78</v>
      </c>
      <c r="S14" s="506"/>
      <c r="T14" s="499"/>
      <c r="U14" s="499"/>
      <c r="V14" s="487" t="s">
        <v>73</v>
      </c>
      <c r="W14" s="451"/>
    </row>
    <row r="15" spans="1:23" ht="12.75">
      <c r="A15" s="503"/>
      <c r="B15" s="499"/>
      <c r="C15" s="499"/>
      <c r="D15" s="499"/>
      <c r="E15" s="499"/>
      <c r="F15" s="499"/>
      <c r="G15" s="499"/>
      <c r="H15" s="499"/>
      <c r="I15" s="499"/>
      <c r="J15" s="507"/>
      <c r="K15" s="465"/>
      <c r="L15" s="432"/>
      <c r="M15" s="503"/>
      <c r="N15" s="499"/>
      <c r="O15" s="499"/>
      <c r="P15" s="499"/>
      <c r="Q15" s="499"/>
      <c r="R15" s="461"/>
      <c r="S15" s="506"/>
      <c r="T15" s="499"/>
      <c r="U15" s="508"/>
      <c r="V15" s="507"/>
      <c r="W15" s="451"/>
    </row>
    <row r="16" spans="1:23" ht="12.75">
      <c r="A16" s="503"/>
      <c r="B16" s="499"/>
      <c r="C16" s="499"/>
      <c r="D16" s="499"/>
      <c r="E16" s="499"/>
      <c r="F16" s="504" t="s">
        <v>79</v>
      </c>
      <c r="G16" s="486" t="s">
        <v>80</v>
      </c>
      <c r="H16" s="499"/>
      <c r="I16" s="499"/>
      <c r="J16" s="507"/>
      <c r="K16" s="465"/>
      <c r="L16" s="432"/>
      <c r="M16" s="509">
        <v>2.5</v>
      </c>
      <c r="N16" s="486" t="s">
        <v>81</v>
      </c>
      <c r="O16" s="510">
        <v>1000000</v>
      </c>
      <c r="P16" s="486" t="s">
        <v>63</v>
      </c>
      <c r="Q16" s="504" t="s">
        <v>82</v>
      </c>
      <c r="R16" s="505" t="s">
        <v>83</v>
      </c>
      <c r="S16" s="506"/>
      <c r="T16" s="511">
        <f>(M16/O16)</f>
        <v>2.5E-06</v>
      </c>
      <c r="U16" s="512">
        <f>I18</f>
        <v>29272.4</v>
      </c>
      <c r="V16" s="513">
        <f aca="true" t="shared" si="0" ref="V16:V22">(+U16*T16)</f>
        <v>0.0732</v>
      </c>
      <c r="W16" s="514">
        <f>V16*C10/V63</f>
        <v>0.0402</v>
      </c>
    </row>
    <row r="17" spans="1:23" ht="12.75">
      <c r="A17" s="503"/>
      <c r="B17" s="499"/>
      <c r="C17" s="499"/>
      <c r="D17" s="499"/>
      <c r="E17" s="499"/>
      <c r="F17" s="499"/>
      <c r="G17" s="499"/>
      <c r="H17" s="499"/>
      <c r="I17" s="499"/>
      <c r="J17" s="507"/>
      <c r="K17" s="465"/>
      <c r="L17" s="432"/>
      <c r="M17" s="515">
        <v>15</v>
      </c>
      <c r="N17" s="486" t="s">
        <v>51</v>
      </c>
      <c r="O17" s="510" t="s">
        <v>84</v>
      </c>
      <c r="P17" s="516" t="s">
        <v>84</v>
      </c>
      <c r="Q17" s="504" t="s">
        <v>85</v>
      </c>
      <c r="R17" s="505" t="s">
        <v>86</v>
      </c>
      <c r="S17" s="506"/>
      <c r="T17" s="511">
        <f>(+M17/100)</f>
        <v>0.15</v>
      </c>
      <c r="U17" s="517">
        <f>V16</f>
        <v>0.0732</v>
      </c>
      <c r="V17" s="513">
        <f t="shared" si="0"/>
        <v>0.011</v>
      </c>
      <c r="W17" s="514">
        <f>V17*C10/V63</f>
        <v>0.006</v>
      </c>
    </row>
    <row r="18" spans="1:26" ht="12.75">
      <c r="A18" s="518">
        <v>100</v>
      </c>
      <c r="B18" s="519" t="s">
        <v>51</v>
      </c>
      <c r="C18" s="255">
        <v>72</v>
      </c>
      <c r="D18" s="486" t="s">
        <v>87</v>
      </c>
      <c r="E18" s="521" t="s">
        <v>88</v>
      </c>
      <c r="F18" s="521" t="s">
        <v>89</v>
      </c>
      <c r="G18" s="521" t="s">
        <v>90</v>
      </c>
      <c r="H18" s="522">
        <f>(+A18/C18)/100</f>
        <v>0.0138889</v>
      </c>
      <c r="I18" s="520">
        <f>I20-(M18*U18)</f>
        <v>29272.4</v>
      </c>
      <c r="J18" s="523">
        <f>(H18*I18)</f>
        <v>406.56</v>
      </c>
      <c r="K18" s="524">
        <f>J18/V63</f>
        <v>0.0638</v>
      </c>
      <c r="L18" s="432"/>
      <c r="M18" s="525">
        <v>6</v>
      </c>
      <c r="N18" s="486" t="s">
        <v>91</v>
      </c>
      <c r="O18" s="526">
        <v>100000</v>
      </c>
      <c r="P18" s="486" t="s">
        <v>63</v>
      </c>
      <c r="Q18" s="504" t="s">
        <v>92</v>
      </c>
      <c r="R18" s="464" t="s">
        <v>93</v>
      </c>
      <c r="S18" s="460"/>
      <c r="T18" s="511">
        <f>(+M18/O18)</f>
        <v>6E-05</v>
      </c>
      <c r="U18" s="255">
        <v>1454.6</v>
      </c>
      <c r="V18" s="513">
        <f t="shared" si="0"/>
        <v>0.0873</v>
      </c>
      <c r="W18" s="514">
        <f>V18*C10/V63</f>
        <v>0.0479</v>
      </c>
      <c r="Z18" s="1">
        <f>180.55*25</f>
        <v>4513.75</v>
      </c>
    </row>
    <row r="19" spans="1:26" ht="12.75">
      <c r="A19" s="527">
        <f>A18</f>
        <v>100</v>
      </c>
      <c r="B19" s="486" t="s">
        <v>51</v>
      </c>
      <c r="C19" s="512">
        <f>C18</f>
        <v>72</v>
      </c>
      <c r="D19" s="486" t="s">
        <v>87</v>
      </c>
      <c r="E19" s="504" t="s">
        <v>88</v>
      </c>
      <c r="F19" s="504" t="s">
        <v>94</v>
      </c>
      <c r="G19" s="504" t="s">
        <v>95</v>
      </c>
      <c r="H19" s="511">
        <f>(+A19/C19)/100</f>
        <v>0.0138889</v>
      </c>
      <c r="I19" s="512">
        <f>I18*I8</f>
        <v>0</v>
      </c>
      <c r="J19" s="523">
        <f>(H19*I19)</f>
        <v>0</v>
      </c>
      <c r="K19" s="524" t="s">
        <v>96</v>
      </c>
      <c r="L19" s="432"/>
      <c r="M19" s="525">
        <v>1</v>
      </c>
      <c r="N19" s="486" t="s">
        <v>97</v>
      </c>
      <c r="O19" s="705">
        <v>3.5</v>
      </c>
      <c r="P19" s="486" t="s">
        <v>63</v>
      </c>
      <c r="Q19" s="504" t="s">
        <v>98</v>
      </c>
      <c r="R19" s="464" t="s">
        <v>99</v>
      </c>
      <c r="S19" s="460"/>
      <c r="T19" s="511">
        <f>(+M19/O19)</f>
        <v>0.2857143</v>
      </c>
      <c r="U19" s="255">
        <v>2.95</v>
      </c>
      <c r="V19" s="513">
        <f t="shared" si="0"/>
        <v>0.8429</v>
      </c>
      <c r="W19" s="514">
        <f>V19*C10/V63</f>
        <v>0.4627</v>
      </c>
      <c r="Z19" s="1">
        <f>1120.82</f>
        <v>1120.82</v>
      </c>
    </row>
    <row r="20" spans="1:26" ht="12.75">
      <c r="A20" s="766">
        <v>18</v>
      </c>
      <c r="B20" s="519" t="s">
        <v>51</v>
      </c>
      <c r="C20" s="520">
        <v>12</v>
      </c>
      <c r="D20" s="486" t="s">
        <v>87</v>
      </c>
      <c r="E20" s="521" t="s">
        <v>88</v>
      </c>
      <c r="F20" s="521" t="s">
        <v>100</v>
      </c>
      <c r="G20" s="521" t="s">
        <v>101</v>
      </c>
      <c r="H20" s="522">
        <f>(+A20/C20)/100</f>
        <v>0.015</v>
      </c>
      <c r="I20" s="255">
        <v>38000</v>
      </c>
      <c r="J20" s="523">
        <f>(H20*I20)</f>
        <v>570</v>
      </c>
      <c r="K20" s="524">
        <f>J20/V63</f>
        <v>0.0894</v>
      </c>
      <c r="L20" s="432"/>
      <c r="M20" s="525">
        <v>16</v>
      </c>
      <c r="N20" s="486" t="s">
        <v>97</v>
      </c>
      <c r="O20" s="510">
        <v>7500</v>
      </c>
      <c r="P20" s="486" t="s">
        <v>63</v>
      </c>
      <c r="Q20" s="504" t="s">
        <v>102</v>
      </c>
      <c r="R20" s="505" t="s">
        <v>103</v>
      </c>
      <c r="S20" s="506"/>
      <c r="T20" s="511">
        <f>(+M20/O20)</f>
        <v>0.0021333</v>
      </c>
      <c r="U20" s="255">
        <v>19</v>
      </c>
      <c r="V20" s="513">
        <f t="shared" si="0"/>
        <v>0.0405</v>
      </c>
      <c r="W20" s="514">
        <f>V20*C10/V63</f>
        <v>0.0222</v>
      </c>
      <c r="Z20" s="1">
        <f>SUM(Z18:Z19)</f>
        <v>5634.57</v>
      </c>
    </row>
    <row r="21" spans="1:23" ht="12.75">
      <c r="A21" s="527">
        <f>A20</f>
        <v>18</v>
      </c>
      <c r="B21" s="486" t="s">
        <v>51</v>
      </c>
      <c r="C21" s="512">
        <f>C20</f>
        <v>12</v>
      </c>
      <c r="D21" s="486" t="s">
        <v>87</v>
      </c>
      <c r="E21" s="504" t="s">
        <v>88</v>
      </c>
      <c r="F21" s="504" t="s">
        <v>104</v>
      </c>
      <c r="G21" s="504" t="s">
        <v>105</v>
      </c>
      <c r="H21" s="511">
        <f>(+A21/C21)/100</f>
        <v>0.015</v>
      </c>
      <c r="I21" s="520">
        <f>I20*I8</f>
        <v>0</v>
      </c>
      <c r="J21" s="523">
        <f>(H21*I21)</f>
        <v>0</v>
      </c>
      <c r="K21" s="524" t="s">
        <v>96</v>
      </c>
      <c r="L21" s="432"/>
      <c r="M21" s="525">
        <v>18</v>
      </c>
      <c r="N21" s="486" t="s">
        <v>97</v>
      </c>
      <c r="O21" s="510">
        <v>30000</v>
      </c>
      <c r="P21" s="486" t="s">
        <v>63</v>
      </c>
      <c r="Q21" s="504" t="s">
        <v>106</v>
      </c>
      <c r="R21" s="505" t="s">
        <v>107</v>
      </c>
      <c r="S21" s="506"/>
      <c r="T21" s="511">
        <f>(+M21/O21)</f>
        <v>0.0006</v>
      </c>
      <c r="U21" s="255">
        <v>22</v>
      </c>
      <c r="V21" s="513">
        <f t="shared" si="0"/>
        <v>0.0132</v>
      </c>
      <c r="W21" s="514">
        <f>V21*C10/V63</f>
        <v>0.0072</v>
      </c>
    </row>
    <row r="22" spans="1:26" ht="12.75">
      <c r="A22" s="527">
        <v>1</v>
      </c>
      <c r="B22" s="486" t="s">
        <v>108</v>
      </c>
      <c r="C22" s="512">
        <v>12</v>
      </c>
      <c r="D22" s="486" t="s">
        <v>87</v>
      </c>
      <c r="E22" s="504" t="s">
        <v>88</v>
      </c>
      <c r="F22" s="504" t="s">
        <v>109</v>
      </c>
      <c r="G22" s="504" t="s">
        <v>110</v>
      </c>
      <c r="H22" s="511">
        <f>A22/C22</f>
        <v>0.0833333</v>
      </c>
      <c r="I22" s="520">
        <v>78</v>
      </c>
      <c r="J22" s="528">
        <f>(I22*H22)</f>
        <v>6.5</v>
      </c>
      <c r="K22" s="524">
        <f>J22/V63</f>
        <v>0.001</v>
      </c>
      <c r="L22" s="432"/>
      <c r="M22" s="525">
        <v>1</v>
      </c>
      <c r="N22" s="486" t="s">
        <v>91</v>
      </c>
      <c r="O22" s="510">
        <v>4000</v>
      </c>
      <c r="P22" s="486" t="s">
        <v>63</v>
      </c>
      <c r="Q22" s="504" t="s">
        <v>111</v>
      </c>
      <c r="R22" s="505" t="s">
        <v>112</v>
      </c>
      <c r="S22" s="506"/>
      <c r="T22" s="511">
        <f>(+M22/O22)</f>
        <v>0.00025</v>
      </c>
      <c r="U22" s="255">
        <v>100</v>
      </c>
      <c r="V22" s="513">
        <f t="shared" si="0"/>
        <v>0.025</v>
      </c>
      <c r="W22" s="514">
        <f>V22*C10/V63</f>
        <v>0.0137</v>
      </c>
      <c r="Z22" s="178">
        <f>Z20/25</f>
        <v>225.38</v>
      </c>
    </row>
    <row r="23" spans="1:23" ht="12.75">
      <c r="A23" s="527">
        <v>1</v>
      </c>
      <c r="B23" s="486" t="s">
        <v>108</v>
      </c>
      <c r="C23" s="512">
        <v>12</v>
      </c>
      <c r="D23" s="486" t="s">
        <v>87</v>
      </c>
      <c r="E23" s="504" t="s">
        <v>88</v>
      </c>
      <c r="F23" s="504" t="s">
        <v>113</v>
      </c>
      <c r="G23" s="504" t="s">
        <v>114</v>
      </c>
      <c r="H23" s="511">
        <f>A23/C23</f>
        <v>0.0833333</v>
      </c>
      <c r="I23" s="520">
        <v>1200</v>
      </c>
      <c r="J23" s="528">
        <f>(I23*H23)</f>
        <v>100</v>
      </c>
      <c r="K23" s="524">
        <f>J23/V63</f>
        <v>0.0157</v>
      </c>
      <c r="L23" s="432"/>
      <c r="M23" s="525"/>
      <c r="N23" s="499"/>
      <c r="O23" s="510"/>
      <c r="P23" s="499"/>
      <c r="Q23" s="499"/>
      <c r="R23" s="461"/>
      <c r="S23" s="506"/>
      <c r="T23" s="529"/>
      <c r="U23" s="512"/>
      <c r="V23" s="513"/>
      <c r="W23" s="497"/>
    </row>
    <row r="24" spans="1:23" ht="12.75">
      <c r="A24" s="527">
        <v>3</v>
      </c>
      <c r="B24" s="486" t="s">
        <v>115</v>
      </c>
      <c r="C24" s="512">
        <v>12</v>
      </c>
      <c r="D24" s="486" t="s">
        <v>87</v>
      </c>
      <c r="E24" s="504" t="s">
        <v>88</v>
      </c>
      <c r="F24" s="504" t="s">
        <v>116</v>
      </c>
      <c r="G24" s="504" t="s">
        <v>492</v>
      </c>
      <c r="H24" s="511">
        <f>1/12</f>
        <v>0.0833333</v>
      </c>
      <c r="I24" s="512">
        <f>(+I20*A24)/100</f>
        <v>1140</v>
      </c>
      <c r="J24" s="528">
        <f>(I24*H24)</f>
        <v>95</v>
      </c>
      <c r="K24" s="524">
        <f>J24/V63</f>
        <v>0.0149</v>
      </c>
      <c r="L24" s="432"/>
      <c r="M24" s="530"/>
      <c r="N24" s="493"/>
      <c r="O24" s="495"/>
      <c r="P24" s="493"/>
      <c r="Q24" s="531" t="s">
        <v>118</v>
      </c>
      <c r="R24" s="532" t="s">
        <v>119</v>
      </c>
      <c r="S24" s="533"/>
      <c r="T24" s="534"/>
      <c r="U24" s="535"/>
      <c r="V24" s="536">
        <f>SUM(V16:V22)</f>
        <v>1.0931</v>
      </c>
      <c r="W24" s="537">
        <f>V24*C10/V63</f>
        <v>0.6</v>
      </c>
    </row>
    <row r="25" spans="1:23" ht="12.75">
      <c r="A25" s="538"/>
      <c r="B25" s="499"/>
      <c r="C25" s="512"/>
      <c r="D25" s="499"/>
      <c r="E25" s="499"/>
      <c r="F25" s="499"/>
      <c r="G25" s="499"/>
      <c r="H25" s="539"/>
      <c r="I25" s="529"/>
      <c r="J25" s="540"/>
      <c r="K25" s="465"/>
      <c r="L25" s="432"/>
      <c r="M25" s="503"/>
      <c r="N25" s="499"/>
      <c r="O25" s="499"/>
      <c r="P25" s="499"/>
      <c r="Q25" s="541"/>
      <c r="R25" s="506"/>
      <c r="S25" s="506"/>
      <c r="T25" s="499"/>
      <c r="U25" s="508"/>
      <c r="V25" s="542"/>
      <c r="W25" s="451"/>
    </row>
    <row r="26" spans="1:23" ht="12.75">
      <c r="A26" s="538"/>
      <c r="B26" s="499"/>
      <c r="C26" s="512"/>
      <c r="D26" s="499"/>
      <c r="E26" s="499"/>
      <c r="F26" s="504" t="s">
        <v>120</v>
      </c>
      <c r="G26" s="504" t="s">
        <v>121</v>
      </c>
      <c r="H26" s="539"/>
      <c r="I26" s="529"/>
      <c r="J26" s="528">
        <f>SUM(J18:J24)</f>
        <v>1178.06</v>
      </c>
      <c r="K26" s="543"/>
      <c r="L26" s="432"/>
      <c r="M26" s="544"/>
      <c r="N26" s="545"/>
      <c r="O26" s="545"/>
      <c r="P26" s="545"/>
      <c r="Q26" s="545"/>
      <c r="R26" s="546"/>
      <c r="S26" s="546"/>
      <c r="T26" s="545"/>
      <c r="U26" s="545"/>
      <c r="V26" s="547"/>
      <c r="W26" s="451"/>
    </row>
    <row r="27" spans="1:23" ht="12.75">
      <c r="A27" s="527">
        <v>100</v>
      </c>
      <c r="B27" s="486" t="s">
        <v>51</v>
      </c>
      <c r="C27" s="512">
        <v>1</v>
      </c>
      <c r="D27" s="486" t="s">
        <v>87</v>
      </c>
      <c r="E27" s="504" t="s">
        <v>88</v>
      </c>
      <c r="F27" s="499"/>
      <c r="G27" s="486" t="s">
        <v>122</v>
      </c>
      <c r="H27" s="548">
        <f>(+A27/C27)/100</f>
        <v>1</v>
      </c>
      <c r="I27" s="512"/>
      <c r="J27" s="528">
        <f>J26*H27</f>
        <v>1178.06</v>
      </c>
      <c r="K27" s="549">
        <f>J27/V63</f>
        <v>0.1848</v>
      </c>
      <c r="L27" s="432"/>
      <c r="M27" s="503"/>
      <c r="N27" s="499"/>
      <c r="O27" s="499"/>
      <c r="P27" s="499"/>
      <c r="Q27" s="499"/>
      <c r="R27" s="461"/>
      <c r="S27" s="461"/>
      <c r="T27" s="499"/>
      <c r="U27" s="508"/>
      <c r="V27" s="550"/>
      <c r="W27" s="451"/>
    </row>
    <row r="28" spans="1:23" ht="12.75">
      <c r="A28" s="538"/>
      <c r="B28" s="499"/>
      <c r="C28" s="512"/>
      <c r="D28" s="499"/>
      <c r="E28" s="499"/>
      <c r="F28" s="499"/>
      <c r="G28" s="499"/>
      <c r="H28" s="548"/>
      <c r="I28" s="512"/>
      <c r="J28" s="528"/>
      <c r="K28" s="543"/>
      <c r="L28" s="432"/>
      <c r="M28" s="492"/>
      <c r="N28" s="493"/>
      <c r="O28" s="493"/>
      <c r="P28" s="493"/>
      <c r="Q28" s="493"/>
      <c r="R28" s="474"/>
      <c r="S28" s="474"/>
      <c r="T28" s="493"/>
      <c r="U28" s="551"/>
      <c r="V28" s="552"/>
      <c r="W28" s="451"/>
    </row>
    <row r="29" spans="1:23" ht="12.75">
      <c r="A29" s="538"/>
      <c r="B29" s="499"/>
      <c r="C29" s="512"/>
      <c r="D29" s="499"/>
      <c r="E29" s="520"/>
      <c r="F29" s="521"/>
      <c r="G29" s="521"/>
      <c r="H29" s="553"/>
      <c r="I29" s="554"/>
      <c r="J29" s="523"/>
      <c r="K29" s="524"/>
      <c r="L29" s="432"/>
      <c r="M29" s="555"/>
      <c r="N29" s="461"/>
      <c r="O29" s="461"/>
      <c r="P29" s="461"/>
      <c r="Q29" s="461"/>
      <c r="R29" s="461"/>
      <c r="S29" s="461"/>
      <c r="T29" s="461"/>
      <c r="U29" s="475"/>
      <c r="V29" s="475"/>
      <c r="W29" s="451"/>
    </row>
    <row r="30" spans="1:23" ht="12.75">
      <c r="A30" s="518">
        <v>2</v>
      </c>
      <c r="B30" s="519" t="s">
        <v>123</v>
      </c>
      <c r="C30" s="526">
        <f>C10</f>
        <v>3500</v>
      </c>
      <c r="D30" s="519" t="s">
        <v>124</v>
      </c>
      <c r="E30" s="556">
        <f>(+C30*H30)</f>
        <v>70</v>
      </c>
      <c r="F30" s="521" t="s">
        <v>125</v>
      </c>
      <c r="G30" s="557" t="s">
        <v>336</v>
      </c>
      <c r="H30" s="553">
        <f>(+A30/100)</f>
        <v>0.02</v>
      </c>
      <c r="I30" s="558">
        <f>V24</f>
        <v>1.0931</v>
      </c>
      <c r="J30" s="523">
        <f>(+E30*I30)</f>
        <v>76.52</v>
      </c>
      <c r="K30" s="524">
        <f>J30/V63</f>
        <v>0.012</v>
      </c>
      <c r="L30" s="432"/>
      <c r="M30" s="555"/>
      <c r="N30" s="461"/>
      <c r="O30" s="461"/>
      <c r="P30" s="461"/>
      <c r="Q30" s="461"/>
      <c r="R30" s="461"/>
      <c r="S30" s="461"/>
      <c r="T30" s="461"/>
      <c r="U30" s="475"/>
      <c r="V30" s="475"/>
      <c r="W30" s="451"/>
    </row>
    <row r="31" spans="1:23" ht="12.75">
      <c r="A31" s="527"/>
      <c r="B31" s="486"/>
      <c r="C31" s="512"/>
      <c r="D31" s="486"/>
      <c r="E31" s="526"/>
      <c r="F31" s="521"/>
      <c r="G31" s="521"/>
      <c r="H31" s="553"/>
      <c r="I31" s="554"/>
      <c r="J31" s="523"/>
      <c r="K31" s="524"/>
      <c r="L31" s="432"/>
      <c r="M31" s="555"/>
      <c r="N31" s="461"/>
      <c r="O31" s="461"/>
      <c r="P31" s="461"/>
      <c r="Q31" s="461"/>
      <c r="R31" s="461"/>
      <c r="S31" s="461"/>
      <c r="T31" s="461"/>
      <c r="U31" s="475"/>
      <c r="V31" s="475"/>
      <c r="W31" s="451"/>
    </row>
    <row r="32" spans="1:23" ht="12.75">
      <c r="A32" s="527"/>
      <c r="B32" s="486"/>
      <c r="C32" s="512"/>
      <c r="D32" s="486"/>
      <c r="E32" s="526"/>
      <c r="F32" s="521"/>
      <c r="G32" s="521"/>
      <c r="H32" s="553"/>
      <c r="I32" s="554"/>
      <c r="J32" s="523"/>
      <c r="K32" s="524"/>
      <c r="L32" s="432"/>
      <c r="M32" s="555"/>
      <c r="N32" s="461"/>
      <c r="O32" s="461"/>
      <c r="P32" s="461"/>
      <c r="Q32" s="461"/>
      <c r="R32" s="461"/>
      <c r="S32" s="461"/>
      <c r="T32" s="461"/>
      <c r="U32" s="475"/>
      <c r="V32" s="475"/>
      <c r="W32" s="451"/>
    </row>
    <row r="33" spans="1:23" ht="12.75">
      <c r="A33" s="525"/>
      <c r="B33" s="499"/>
      <c r="C33" s="512"/>
      <c r="D33" s="499"/>
      <c r="E33" s="499"/>
      <c r="F33" s="521" t="s">
        <v>132</v>
      </c>
      <c r="G33" s="499" t="s">
        <v>445</v>
      </c>
      <c r="H33" s="539"/>
      <c r="I33" s="508"/>
      <c r="J33" s="528">
        <f>SUM(J27:J32)</f>
        <v>1254.58</v>
      </c>
      <c r="K33" s="524"/>
      <c r="L33" s="432"/>
      <c r="M33" s="555"/>
      <c r="N33" s="461"/>
      <c r="O33" s="461"/>
      <c r="P33" s="461"/>
      <c r="Q33" s="461"/>
      <c r="R33" s="461"/>
      <c r="S33" s="461"/>
      <c r="T33" s="461"/>
      <c r="U33" s="475"/>
      <c r="V33" s="475"/>
      <c r="W33" s="451"/>
    </row>
    <row r="34" spans="1:23" ht="12.75">
      <c r="A34" s="525"/>
      <c r="B34" s="499"/>
      <c r="C34" s="512"/>
      <c r="D34" s="499"/>
      <c r="E34" s="639"/>
      <c r="F34" s="521"/>
      <c r="G34" s="521"/>
      <c r="H34" s="638"/>
      <c r="I34" s="644"/>
      <c r="J34" s="640"/>
      <c r="K34" s="524"/>
      <c r="L34" s="432"/>
      <c r="M34" s="449"/>
      <c r="N34" s="450"/>
      <c r="O34" s="450"/>
      <c r="P34" s="450"/>
      <c r="Q34" s="450"/>
      <c r="R34" s="450"/>
      <c r="S34" s="450"/>
      <c r="T34" s="450"/>
      <c r="U34" s="450"/>
      <c r="V34" s="450"/>
      <c r="W34" s="451"/>
    </row>
    <row r="35" spans="1:23" ht="12.75">
      <c r="A35" s="760">
        <v>2.5</v>
      </c>
      <c r="B35" s="519" t="s">
        <v>198</v>
      </c>
      <c r="C35" s="512"/>
      <c r="D35" s="486"/>
      <c r="E35" s="639"/>
      <c r="F35" s="521" t="s">
        <v>449</v>
      </c>
      <c r="G35" s="574" t="s">
        <v>448</v>
      </c>
      <c r="H35" s="539">
        <f>A35/100</f>
        <v>0.025</v>
      </c>
      <c r="I35" s="594">
        <f>J33</f>
        <v>1254.58</v>
      </c>
      <c r="J35" s="523">
        <f>H35*I35</f>
        <v>31.36</v>
      </c>
      <c r="K35" s="524">
        <f>J35/V63</f>
        <v>0.0049</v>
      </c>
      <c r="L35" s="432"/>
      <c r="M35" s="449"/>
      <c r="N35" s="450"/>
      <c r="O35" s="450"/>
      <c r="P35" s="450"/>
      <c r="Q35" s="450"/>
      <c r="R35" s="450"/>
      <c r="S35" s="450"/>
      <c r="T35" s="450"/>
      <c r="U35" s="450"/>
      <c r="V35" s="450"/>
      <c r="W35" s="451"/>
    </row>
    <row r="36" spans="1:23" ht="12.75">
      <c r="A36" s="525"/>
      <c r="B36" s="486"/>
      <c r="C36" s="512"/>
      <c r="D36" s="504"/>
      <c r="E36" s="486"/>
      <c r="F36" s="504"/>
      <c r="G36" s="504"/>
      <c r="H36" s="548"/>
      <c r="I36" s="512"/>
      <c r="J36" s="528"/>
      <c r="K36" s="524"/>
      <c r="L36" s="432"/>
      <c r="M36" s="559"/>
      <c r="N36" s="560"/>
      <c r="O36" s="560"/>
      <c r="P36" s="560"/>
      <c r="Q36" s="561"/>
      <c r="R36" s="560"/>
      <c r="S36" s="560"/>
      <c r="T36" s="560"/>
      <c r="U36" s="562"/>
      <c r="V36" s="560"/>
      <c r="W36" s="441"/>
    </row>
    <row r="37" spans="1:23" ht="20.25">
      <c r="A37" s="527"/>
      <c r="B37" s="486"/>
      <c r="C37" s="512"/>
      <c r="D37" s="486"/>
      <c r="E37" s="510"/>
      <c r="F37" s="504"/>
      <c r="G37" s="504"/>
      <c r="H37" s="548"/>
      <c r="I37" s="520"/>
      <c r="J37" s="528"/>
      <c r="K37" s="524"/>
      <c r="L37" s="432"/>
      <c r="M37" s="442" t="s">
        <v>127</v>
      </c>
      <c r="N37" s="443"/>
      <c r="O37" s="443"/>
      <c r="P37" s="443"/>
      <c r="Q37" s="443"/>
      <c r="R37" s="443"/>
      <c r="S37" s="443"/>
      <c r="T37" s="443"/>
      <c r="U37" s="443"/>
      <c r="V37" s="563"/>
      <c r="W37" s="441"/>
    </row>
    <row r="38" spans="1:23" ht="12.75">
      <c r="A38" s="527"/>
      <c r="B38" s="486"/>
      <c r="C38" s="512"/>
      <c r="D38" s="486"/>
      <c r="E38" s="510"/>
      <c r="F38" s="504"/>
      <c r="G38" s="504"/>
      <c r="H38" s="548"/>
      <c r="I38" s="520"/>
      <c r="J38" s="528"/>
      <c r="K38" s="524"/>
      <c r="L38" s="432"/>
      <c r="M38" s="564"/>
      <c r="N38" s="565"/>
      <c r="O38" s="565"/>
      <c r="P38" s="565"/>
      <c r="Q38" s="565"/>
      <c r="R38" s="565"/>
      <c r="S38" s="565"/>
      <c r="T38" s="565"/>
      <c r="U38" s="565"/>
      <c r="V38" s="565"/>
      <c r="W38" s="441"/>
    </row>
    <row r="39" spans="1:23" ht="12.75">
      <c r="A39" s="527"/>
      <c r="B39" s="486"/>
      <c r="C39" s="512"/>
      <c r="D39" s="486"/>
      <c r="E39" s="510"/>
      <c r="F39" s="504"/>
      <c r="G39" s="504"/>
      <c r="H39" s="548"/>
      <c r="I39" s="520"/>
      <c r="J39" s="528"/>
      <c r="K39" s="524"/>
      <c r="L39" s="432"/>
      <c r="M39" s="566"/>
      <c r="N39" s="454"/>
      <c r="O39" s="480"/>
      <c r="P39" s="480"/>
      <c r="Q39" s="480"/>
      <c r="R39" s="483"/>
      <c r="S39" s="481"/>
      <c r="T39" s="480"/>
      <c r="U39" s="482" t="s">
        <v>64</v>
      </c>
      <c r="V39" s="567"/>
      <c r="W39" s="441"/>
    </row>
    <row r="40" spans="1:23" ht="12.75">
      <c r="A40" s="527"/>
      <c r="B40" s="486"/>
      <c r="C40" s="512"/>
      <c r="D40" s="486"/>
      <c r="E40" s="510"/>
      <c r="F40" s="504"/>
      <c r="G40" s="504"/>
      <c r="H40" s="548"/>
      <c r="I40" s="520"/>
      <c r="J40" s="528"/>
      <c r="K40" s="524"/>
      <c r="L40" s="432"/>
      <c r="M40" s="555"/>
      <c r="N40" s="461"/>
      <c r="O40" s="499"/>
      <c r="P40" s="499"/>
      <c r="Q40" s="499"/>
      <c r="R40" s="507"/>
      <c r="S40" s="568"/>
      <c r="T40" s="499"/>
      <c r="U40" s="486" t="s">
        <v>72</v>
      </c>
      <c r="V40" s="550"/>
      <c r="W40" s="441"/>
    </row>
    <row r="41" spans="1:23" ht="12.75">
      <c r="A41" s="527"/>
      <c r="B41" s="486"/>
      <c r="C41" s="512"/>
      <c r="D41" s="486"/>
      <c r="E41" s="510"/>
      <c r="F41" s="504"/>
      <c r="G41" s="504"/>
      <c r="H41" s="548"/>
      <c r="I41" s="520"/>
      <c r="J41" s="528"/>
      <c r="K41" s="524"/>
      <c r="L41" s="432"/>
      <c r="M41" s="555"/>
      <c r="N41" s="461"/>
      <c r="O41" s="569" t="s">
        <v>75</v>
      </c>
      <c r="P41" s="486" t="s">
        <v>67</v>
      </c>
      <c r="Q41" s="569" t="s">
        <v>69</v>
      </c>
      <c r="R41" s="801" t="s">
        <v>128</v>
      </c>
      <c r="S41" s="802"/>
      <c r="T41" s="486" t="s">
        <v>71</v>
      </c>
      <c r="U41" s="529" t="s">
        <v>74</v>
      </c>
      <c r="V41" s="528" t="s">
        <v>129</v>
      </c>
      <c r="W41" s="441"/>
    </row>
    <row r="42" spans="1:23" ht="12.75">
      <c r="A42" s="503"/>
      <c r="B42" s="499"/>
      <c r="C42" s="529"/>
      <c r="D42" s="499"/>
      <c r="E42" s="499"/>
      <c r="F42" s="499"/>
      <c r="G42" s="499"/>
      <c r="H42" s="499"/>
      <c r="I42" s="529"/>
      <c r="J42" s="540"/>
      <c r="K42" s="524"/>
      <c r="L42" s="432"/>
      <c r="M42" s="555"/>
      <c r="N42" s="461"/>
      <c r="O42" s="499"/>
      <c r="P42" s="480"/>
      <c r="Q42" s="505" t="s">
        <v>130</v>
      </c>
      <c r="R42" s="532" t="s">
        <v>131</v>
      </c>
      <c r="S42" s="533"/>
      <c r="T42" s="534"/>
      <c r="U42" s="535"/>
      <c r="V42" s="570" t="s">
        <v>73</v>
      </c>
      <c r="W42" s="571"/>
    </row>
    <row r="43" spans="1:23" ht="12.75">
      <c r="A43" s="492"/>
      <c r="B43" s="493"/>
      <c r="C43" s="495"/>
      <c r="D43" s="493"/>
      <c r="E43" s="493"/>
      <c r="F43" s="531" t="s">
        <v>203</v>
      </c>
      <c r="G43" s="532" t="s">
        <v>450</v>
      </c>
      <c r="H43" s="572"/>
      <c r="I43" s="572"/>
      <c r="J43" s="573">
        <f>SUM(J33:J42)</f>
        <v>1285.94</v>
      </c>
      <c r="K43" s="549">
        <f>J43/V63</f>
        <v>0.2017</v>
      </c>
      <c r="L43" s="432"/>
      <c r="M43" s="555"/>
      <c r="N43" s="461"/>
      <c r="O43" s="499"/>
      <c r="P43" s="499"/>
      <c r="Q43" s="505" t="s">
        <v>133</v>
      </c>
      <c r="R43" s="574" t="s">
        <v>134</v>
      </c>
      <c r="S43" s="575"/>
      <c r="T43" s="529"/>
      <c r="U43" s="517">
        <f>V24</f>
        <v>1.0931</v>
      </c>
      <c r="V43" s="513">
        <f>$V$24</f>
        <v>1.0931</v>
      </c>
      <c r="W43" s="451"/>
    </row>
    <row r="44" spans="1:23" ht="12.75">
      <c r="A44" s="555"/>
      <c r="B44" s="461"/>
      <c r="C44" s="461"/>
      <c r="D44" s="461"/>
      <c r="E44" s="461"/>
      <c r="F44" s="505"/>
      <c r="G44" s="505"/>
      <c r="H44" s="505"/>
      <c r="I44" s="505"/>
      <c r="J44" s="475"/>
      <c r="K44" s="576"/>
      <c r="L44" s="432"/>
      <c r="M44" s="555"/>
      <c r="N44" s="461"/>
      <c r="O44" s="512">
        <f>C51</f>
        <v>5.5</v>
      </c>
      <c r="P44" s="486" t="s">
        <v>51</v>
      </c>
      <c r="Q44" s="505" t="s">
        <v>135</v>
      </c>
      <c r="R44" s="574" t="s">
        <v>138</v>
      </c>
      <c r="S44" s="575"/>
      <c r="T44" s="539">
        <f>(+O44/100)</f>
        <v>0.055</v>
      </c>
      <c r="U44" s="529"/>
      <c r="V44" s="513">
        <f>(+V43*T44)</f>
        <v>0.0601</v>
      </c>
      <c r="W44" s="514">
        <f>V44*C15/V63</f>
        <v>0</v>
      </c>
    </row>
    <row r="45" spans="1:23" ht="20.25">
      <c r="A45" s="577" t="s">
        <v>136</v>
      </c>
      <c r="B45" s="578"/>
      <c r="C45" s="578"/>
      <c r="D45" s="578"/>
      <c r="E45" s="578"/>
      <c r="F45" s="578"/>
      <c r="G45" s="578"/>
      <c r="H45" s="578"/>
      <c r="I45" s="578"/>
      <c r="J45" s="578"/>
      <c r="K45" s="543"/>
      <c r="L45" s="432"/>
      <c r="M45" s="555"/>
      <c r="N45" s="461"/>
      <c r="O45" s="512" t="s">
        <v>139</v>
      </c>
      <c r="P45" s="499"/>
      <c r="Q45" s="505" t="s">
        <v>137</v>
      </c>
      <c r="R45" s="574" t="s">
        <v>418</v>
      </c>
      <c r="S45" s="575"/>
      <c r="T45" s="499"/>
      <c r="U45" s="529"/>
      <c r="V45" s="513">
        <f>SUM(V43:V44)</f>
        <v>1.1532</v>
      </c>
      <c r="W45" s="514"/>
    </row>
    <row r="46" spans="1:23" ht="20.25">
      <c r="A46" s="555"/>
      <c r="B46" s="461"/>
      <c r="C46" s="461"/>
      <c r="D46" s="461"/>
      <c r="E46" s="461"/>
      <c r="F46" s="461"/>
      <c r="G46" s="506"/>
      <c r="H46" s="461"/>
      <c r="I46" s="461"/>
      <c r="J46" s="461"/>
      <c r="K46" s="445"/>
      <c r="L46" s="432"/>
      <c r="M46" s="555"/>
      <c r="N46" s="461"/>
      <c r="O46" s="512">
        <f>C54</f>
        <v>0</v>
      </c>
      <c r="P46" s="486" t="s">
        <v>51</v>
      </c>
      <c r="Q46" s="505" t="s">
        <v>140</v>
      </c>
      <c r="R46" s="574" t="s">
        <v>142</v>
      </c>
      <c r="S46" s="575"/>
      <c r="T46" s="539">
        <f>(+O46/100)</f>
        <v>0</v>
      </c>
      <c r="U46" s="581">
        <f>V45</f>
        <v>1.1532</v>
      </c>
      <c r="V46" s="513">
        <f>(+V45*T46)</f>
        <v>0</v>
      </c>
      <c r="W46" s="514">
        <f>V46*C15/V63</f>
        <v>0</v>
      </c>
    </row>
    <row r="47" spans="1:23" ht="12.75">
      <c r="A47" s="566"/>
      <c r="B47" s="481"/>
      <c r="C47" s="480"/>
      <c r="D47" s="480"/>
      <c r="E47" s="480"/>
      <c r="F47" s="579"/>
      <c r="G47" s="580"/>
      <c r="H47" s="489"/>
      <c r="I47" s="482" t="s">
        <v>64</v>
      </c>
      <c r="J47" s="483"/>
      <c r="K47" s="465"/>
      <c r="L47" s="432"/>
      <c r="M47" s="555"/>
      <c r="N47" s="461"/>
      <c r="O47" s="512" t="s">
        <v>139</v>
      </c>
      <c r="P47" s="499"/>
      <c r="Q47" s="505" t="s">
        <v>141</v>
      </c>
      <c r="R47" s="574" t="s">
        <v>419</v>
      </c>
      <c r="S47" s="575"/>
      <c r="T47" s="499"/>
      <c r="U47" s="529"/>
      <c r="V47" s="513">
        <f>SUM(V45:V46)</f>
        <v>1.1532</v>
      </c>
      <c r="W47" s="514"/>
    </row>
    <row r="48" spans="1:23" ht="12.75">
      <c r="A48" s="555"/>
      <c r="B48" s="568"/>
      <c r="C48" s="486" t="s">
        <v>75</v>
      </c>
      <c r="D48" s="486" t="s">
        <v>67</v>
      </c>
      <c r="E48" s="486" t="s">
        <v>69</v>
      </c>
      <c r="F48" s="801" t="s">
        <v>70</v>
      </c>
      <c r="G48" s="802"/>
      <c r="H48" s="486" t="s">
        <v>71</v>
      </c>
      <c r="I48" s="486" t="s">
        <v>72</v>
      </c>
      <c r="J48" s="487" t="s">
        <v>73</v>
      </c>
      <c r="K48" s="465"/>
      <c r="L48" s="432"/>
      <c r="M48" s="555"/>
      <c r="N48" s="461"/>
      <c r="O48" s="512">
        <f>C57</f>
        <v>9</v>
      </c>
      <c r="P48" s="486" t="s">
        <v>51</v>
      </c>
      <c r="Q48" s="505" t="s">
        <v>143</v>
      </c>
      <c r="R48" s="574" t="s">
        <v>145</v>
      </c>
      <c r="S48" s="575"/>
      <c r="T48" s="539">
        <f>(+O48/100)</f>
        <v>0.09</v>
      </c>
      <c r="U48" s="581">
        <f>V47</f>
        <v>1.1532</v>
      </c>
      <c r="V48" s="513">
        <f>(+V47*T48)</f>
        <v>0.1038</v>
      </c>
      <c r="W48" s="514">
        <f>V48*C15/V63</f>
        <v>0</v>
      </c>
    </row>
    <row r="49" spans="1:23" ht="12.75">
      <c r="A49" s="555"/>
      <c r="B49" s="568"/>
      <c r="C49" s="493"/>
      <c r="D49" s="493"/>
      <c r="E49" s="493"/>
      <c r="F49" s="496"/>
      <c r="G49" s="474"/>
      <c r="H49" s="501"/>
      <c r="I49" s="495" t="s">
        <v>74</v>
      </c>
      <c r="J49" s="496"/>
      <c r="K49" s="582"/>
      <c r="L49" s="432"/>
      <c r="M49" s="555"/>
      <c r="N49" s="461"/>
      <c r="O49" s="512" t="s">
        <v>139</v>
      </c>
      <c r="P49" s="499"/>
      <c r="Q49" s="505" t="s">
        <v>144</v>
      </c>
      <c r="R49" s="574" t="s">
        <v>420</v>
      </c>
      <c r="S49" s="575"/>
      <c r="T49" s="499"/>
      <c r="U49" s="529"/>
      <c r="V49" s="513">
        <f>SUM(V47:V48)</f>
        <v>1.257</v>
      </c>
      <c r="W49" s="514"/>
    </row>
    <row r="50" spans="1:23" ht="12.75">
      <c r="A50" s="555"/>
      <c r="B50" s="568"/>
      <c r="C50" s="499"/>
      <c r="D50" s="499"/>
      <c r="E50" s="504" t="s">
        <v>146</v>
      </c>
      <c r="F50" s="583" t="s">
        <v>176</v>
      </c>
      <c r="G50" s="454"/>
      <c r="H50" s="584"/>
      <c r="I50" s="512">
        <f>J43</f>
        <v>1285.94</v>
      </c>
      <c r="J50" s="585">
        <f>J43</f>
        <v>1285.94</v>
      </c>
      <c r="K50" s="465"/>
      <c r="L50" s="432"/>
      <c r="M50" s="555"/>
      <c r="N50" s="461"/>
      <c r="O50" s="548">
        <f>C60</f>
        <v>7.81</v>
      </c>
      <c r="P50" s="486" t="s">
        <v>51</v>
      </c>
      <c r="Q50" s="505" t="s">
        <v>150</v>
      </c>
      <c r="R50" s="574" t="s">
        <v>151</v>
      </c>
      <c r="S50" s="575"/>
      <c r="T50" s="539">
        <f>(+O50/100)</f>
        <v>0.0781</v>
      </c>
      <c r="U50" s="529"/>
      <c r="V50" s="513">
        <f>(+V53*T50)</f>
        <v>0.1065</v>
      </c>
      <c r="W50" s="514">
        <f>V50*C15/V63</f>
        <v>0</v>
      </c>
    </row>
    <row r="51" spans="1:23" ht="12.75">
      <c r="A51" s="555"/>
      <c r="B51" s="568"/>
      <c r="C51" s="237">
        <v>5.5</v>
      </c>
      <c r="D51" s="486" t="s">
        <v>51</v>
      </c>
      <c r="E51" s="504" t="s">
        <v>149</v>
      </c>
      <c r="F51" s="574" t="s">
        <v>138</v>
      </c>
      <c r="G51" s="575"/>
      <c r="H51" s="539">
        <f>(C51/100)</f>
        <v>0.055</v>
      </c>
      <c r="I51" s="499"/>
      <c r="J51" s="528">
        <f>(+J50*H51)</f>
        <v>70.73</v>
      </c>
      <c r="K51" s="524">
        <f>J51/V63</f>
        <v>0.0111</v>
      </c>
      <c r="L51" s="432"/>
      <c r="M51" s="555"/>
      <c r="N51" s="461"/>
      <c r="O51" s="499"/>
      <c r="P51" s="499"/>
      <c r="Q51" s="507"/>
      <c r="R51" s="507"/>
      <c r="S51" s="568"/>
      <c r="T51" s="507"/>
      <c r="U51" s="540"/>
      <c r="V51" s="540"/>
      <c r="W51" s="728"/>
    </row>
    <row r="52" spans="1:23" ht="12.75">
      <c r="A52" s="555"/>
      <c r="B52" s="568"/>
      <c r="C52" s="512" t="s">
        <v>139</v>
      </c>
      <c r="D52" s="499"/>
      <c r="E52" s="499"/>
      <c r="F52" s="507"/>
      <c r="G52" s="461"/>
      <c r="H52" s="539"/>
      <c r="I52" s="508"/>
      <c r="J52" s="528"/>
      <c r="K52" s="586"/>
      <c r="L52" s="432"/>
      <c r="M52" s="555"/>
      <c r="N52" s="461"/>
      <c r="O52" s="512" t="s">
        <v>139</v>
      </c>
      <c r="P52" s="499"/>
      <c r="Q52" s="461"/>
      <c r="R52" s="507"/>
      <c r="S52" s="568"/>
      <c r="T52" s="529"/>
      <c r="U52" s="529"/>
      <c r="V52" s="513"/>
      <c r="W52" s="497"/>
    </row>
    <row r="53" spans="1:25" ht="12.75">
      <c r="A53" s="555"/>
      <c r="B53" s="568"/>
      <c r="C53" s="592"/>
      <c r="D53" s="499"/>
      <c r="E53" s="504" t="s">
        <v>152</v>
      </c>
      <c r="F53" s="574" t="s">
        <v>424</v>
      </c>
      <c r="G53" s="461"/>
      <c r="H53" s="539"/>
      <c r="I53" s="499"/>
      <c r="J53" s="528">
        <f>SUM(J50:J51)</f>
        <v>1356.67</v>
      </c>
      <c r="K53" s="524"/>
      <c r="L53" s="432"/>
      <c r="M53" s="587"/>
      <c r="N53" s="474"/>
      <c r="O53" s="588" t="s">
        <v>139</v>
      </c>
      <c r="P53" s="493"/>
      <c r="Q53" s="589" t="s">
        <v>148</v>
      </c>
      <c r="R53" s="532" t="s">
        <v>430</v>
      </c>
      <c r="S53" s="535"/>
      <c r="T53" s="590"/>
      <c r="U53" s="534"/>
      <c r="V53" s="536">
        <f>V49/(1-T50)</f>
        <v>1.3635</v>
      </c>
      <c r="W53" s="591">
        <f>V53*C10/V63</f>
        <v>0.7484</v>
      </c>
      <c r="Y53" s="178"/>
    </row>
    <row r="54" spans="1:23" ht="12.75">
      <c r="A54" s="555"/>
      <c r="B54" s="568"/>
      <c r="C54" s="512">
        <v>0</v>
      </c>
      <c r="D54" s="486" t="s">
        <v>51</v>
      </c>
      <c r="E54" s="504" t="s">
        <v>154</v>
      </c>
      <c r="F54" s="574" t="s">
        <v>142</v>
      </c>
      <c r="G54" s="575"/>
      <c r="H54" s="539">
        <f>(C54/100)</f>
        <v>0</v>
      </c>
      <c r="I54" s="648">
        <f>J53</f>
        <v>1356.67</v>
      </c>
      <c r="J54" s="528">
        <f>(+J53*H54)</f>
        <v>0</v>
      </c>
      <c r="K54" s="524">
        <f>J54/V63</f>
        <v>0</v>
      </c>
      <c r="L54" s="432"/>
      <c r="M54" s="593"/>
      <c r="N54" s="546"/>
      <c r="O54" s="546"/>
      <c r="P54" s="546"/>
      <c r="Q54" s="546"/>
      <c r="R54" s="546"/>
      <c r="S54" s="546"/>
      <c r="T54" s="546"/>
      <c r="U54" s="546"/>
      <c r="V54" s="546"/>
      <c r="W54" s="451"/>
    </row>
    <row r="55" spans="1:23" ht="12.75">
      <c r="A55" s="555"/>
      <c r="B55" s="568"/>
      <c r="C55" s="512" t="s">
        <v>139</v>
      </c>
      <c r="D55" s="499"/>
      <c r="E55" s="499"/>
      <c r="F55" s="507"/>
      <c r="G55" s="461"/>
      <c r="H55" s="539"/>
      <c r="I55" s="508"/>
      <c r="J55" s="528"/>
      <c r="K55" s="586"/>
      <c r="L55" s="432"/>
      <c r="M55" s="555"/>
      <c r="N55" s="461"/>
      <c r="O55" s="461"/>
      <c r="P55" s="461"/>
      <c r="Q55" s="461"/>
      <c r="R55" s="461"/>
      <c r="S55" s="461"/>
      <c r="T55" s="461"/>
      <c r="U55" s="461"/>
      <c r="V55" s="461"/>
      <c r="W55" s="451"/>
    </row>
    <row r="56" spans="1:23" ht="13.5" thickBot="1">
      <c r="A56" s="555"/>
      <c r="B56" s="568"/>
      <c r="C56" s="512" t="s">
        <v>139</v>
      </c>
      <c r="D56" s="499"/>
      <c r="E56" s="504" t="s">
        <v>155</v>
      </c>
      <c r="F56" s="574" t="s">
        <v>425</v>
      </c>
      <c r="G56" s="461"/>
      <c r="H56" s="539"/>
      <c r="I56" s="499"/>
      <c r="J56" s="528">
        <f>SUM(J53:J54)</f>
        <v>1356.67</v>
      </c>
      <c r="K56" s="586"/>
      <c r="L56" s="432"/>
      <c r="M56" s="555"/>
      <c r="N56" s="461"/>
      <c r="O56" s="461"/>
      <c r="P56" s="461"/>
      <c r="Q56" s="461"/>
      <c r="R56" s="461"/>
      <c r="S56" s="461"/>
      <c r="T56" s="461"/>
      <c r="U56" s="461"/>
      <c r="V56" s="461"/>
      <c r="W56" s="451"/>
    </row>
    <row r="57" spans="1:23" ht="20.25">
      <c r="A57" s="555"/>
      <c r="B57" s="568"/>
      <c r="C57" s="237">
        <v>9</v>
      </c>
      <c r="D57" s="486" t="s">
        <v>51</v>
      </c>
      <c r="E57" s="504" t="s">
        <v>156</v>
      </c>
      <c r="F57" s="574" t="s">
        <v>427</v>
      </c>
      <c r="G57" s="575"/>
      <c r="H57" s="539">
        <f>(C57/100)</f>
        <v>0.09</v>
      </c>
      <c r="I57" s="648">
        <f>J56</f>
        <v>1356.67</v>
      </c>
      <c r="J57" s="528">
        <f>(+J56*H57)</f>
        <v>122.1</v>
      </c>
      <c r="K57" s="524">
        <f>J57/V63</f>
        <v>0.0191</v>
      </c>
      <c r="L57" s="432"/>
      <c r="M57" s="555"/>
      <c r="N57" s="461"/>
      <c r="O57" s="461"/>
      <c r="P57" s="461"/>
      <c r="Q57" s="595" t="s">
        <v>157</v>
      </c>
      <c r="R57" s="596"/>
      <c r="S57" s="596"/>
      <c r="T57" s="596"/>
      <c r="U57" s="596"/>
      <c r="V57" s="596"/>
      <c r="W57" s="451"/>
    </row>
    <row r="58" spans="1:23" ht="13.5" thickBot="1">
      <c r="A58" s="555"/>
      <c r="B58" s="568"/>
      <c r="C58" s="512" t="s">
        <v>139</v>
      </c>
      <c r="D58" s="499"/>
      <c r="E58" s="499"/>
      <c r="F58" s="507"/>
      <c r="G58" s="461"/>
      <c r="H58" s="539"/>
      <c r="I58" s="499"/>
      <c r="J58" s="528"/>
      <c r="K58" s="586"/>
      <c r="L58" s="432"/>
      <c r="M58" s="555"/>
      <c r="N58" s="461"/>
      <c r="O58" s="461"/>
      <c r="P58" s="461"/>
      <c r="Q58" s="597"/>
      <c r="R58" s="598"/>
      <c r="S58" s="598"/>
      <c r="T58" s="598"/>
      <c r="U58" s="598"/>
      <c r="V58" s="598"/>
      <c r="W58" s="451"/>
    </row>
    <row r="59" spans="1:23" ht="13.5" thickBot="1">
      <c r="A59" s="555"/>
      <c r="B59" s="568"/>
      <c r="C59" s="512" t="s">
        <v>139</v>
      </c>
      <c r="D59" s="499"/>
      <c r="E59" s="504" t="s">
        <v>158</v>
      </c>
      <c r="F59" s="574" t="s">
        <v>162</v>
      </c>
      <c r="G59" s="461"/>
      <c r="H59" s="539"/>
      <c r="I59" s="499"/>
      <c r="J59" s="528">
        <f>SUM(J56:J57)</f>
        <v>1478.77</v>
      </c>
      <c r="K59" s="586"/>
      <c r="L59" s="432"/>
      <c r="M59" s="555"/>
      <c r="N59" s="461"/>
      <c r="O59" s="461"/>
      <c r="P59" s="461"/>
      <c r="Q59" s="729" t="s">
        <v>422</v>
      </c>
      <c r="R59" s="599" t="s">
        <v>431</v>
      </c>
      <c r="S59" s="600"/>
      <c r="T59" s="600"/>
      <c r="U59" s="600"/>
      <c r="V59" s="601">
        <f>C10*V53</f>
        <v>4772.25</v>
      </c>
      <c r="W59" s="602">
        <f>V59/V63</f>
        <v>0.7484</v>
      </c>
    </row>
    <row r="60" spans="1:23" ht="13.5" thickBot="1">
      <c r="A60" s="555"/>
      <c r="B60" s="568"/>
      <c r="C60" s="237">
        <f>(15%*C57)+(9%*C57)+3.65+2</f>
        <v>7.81</v>
      </c>
      <c r="D60" s="486" t="s">
        <v>51</v>
      </c>
      <c r="E60" s="504" t="s">
        <v>165</v>
      </c>
      <c r="F60" s="574" t="s">
        <v>151</v>
      </c>
      <c r="G60" s="575"/>
      <c r="H60" s="539">
        <f>(C60/100)</f>
        <v>0.0781</v>
      </c>
      <c r="I60" s="499"/>
      <c r="J60" s="528">
        <f>(+J63*H60)</f>
        <v>125.28</v>
      </c>
      <c r="K60" s="524">
        <f>J60/V63</f>
        <v>0.0196</v>
      </c>
      <c r="L60" s="432"/>
      <c r="M60" s="555"/>
      <c r="N60" s="461"/>
      <c r="O60" s="461"/>
      <c r="P60" s="461"/>
      <c r="Q60" s="730" t="s">
        <v>159</v>
      </c>
      <c r="R60" s="505" t="s">
        <v>164</v>
      </c>
      <c r="S60" s="461"/>
      <c r="T60" s="461"/>
      <c r="U60" s="505"/>
      <c r="V60" s="475">
        <f>J63</f>
        <v>1604.05</v>
      </c>
      <c r="W60" s="602">
        <f>V60/V63</f>
        <v>0.2516</v>
      </c>
    </row>
    <row r="61" spans="1:23" ht="12.75">
      <c r="A61" s="555"/>
      <c r="B61" s="568"/>
      <c r="C61" s="499"/>
      <c r="D61" s="499"/>
      <c r="E61" s="507"/>
      <c r="F61" s="507"/>
      <c r="G61" s="568"/>
      <c r="H61" s="499"/>
      <c r="I61" s="499"/>
      <c r="J61" s="529"/>
      <c r="K61" s="728"/>
      <c r="L61" s="432"/>
      <c r="M61" s="555"/>
      <c r="N61" s="461"/>
      <c r="O61" s="461"/>
      <c r="P61" s="461"/>
      <c r="Q61" s="603"/>
      <c r="R61" s="604"/>
      <c r="S61" s="605"/>
      <c r="T61" s="605"/>
      <c r="U61" s="604"/>
      <c r="V61" s="606"/>
      <c r="W61" s="451"/>
    </row>
    <row r="62" spans="1:23" ht="13.5" thickBot="1">
      <c r="A62" s="555"/>
      <c r="B62" s="568"/>
      <c r="C62" s="512" t="s">
        <v>139</v>
      </c>
      <c r="D62" s="499"/>
      <c r="E62" s="499"/>
      <c r="F62" s="507"/>
      <c r="G62" s="461"/>
      <c r="H62" s="529"/>
      <c r="I62" s="529"/>
      <c r="J62" s="528"/>
      <c r="K62" s="586"/>
      <c r="L62" s="432"/>
      <c r="M62" s="555"/>
      <c r="N62" s="461"/>
      <c r="O62" s="461"/>
      <c r="P62" s="461"/>
      <c r="Q62" s="555"/>
      <c r="R62" s="461"/>
      <c r="S62" s="461"/>
      <c r="T62" s="461"/>
      <c r="U62" s="461"/>
      <c r="V62" s="506"/>
      <c r="W62" s="608"/>
    </row>
    <row r="63" spans="1:23" ht="13.5" thickBot="1">
      <c r="A63" s="609"/>
      <c r="B63" s="610"/>
      <c r="C63" s="611" t="s">
        <v>139</v>
      </c>
      <c r="D63" s="612"/>
      <c r="E63" s="613" t="s">
        <v>166</v>
      </c>
      <c r="F63" s="614" t="s">
        <v>167</v>
      </c>
      <c r="G63" s="615"/>
      <c r="H63" s="615"/>
      <c r="I63" s="615"/>
      <c r="J63" s="616">
        <f>J59/(1-H60)</f>
        <v>1604.05</v>
      </c>
      <c r="K63" s="617">
        <f>J63/V63</f>
        <v>0.2516</v>
      </c>
      <c r="L63" s="432"/>
      <c r="M63" s="609"/>
      <c r="N63" s="618"/>
      <c r="O63" s="618"/>
      <c r="P63" s="618"/>
      <c r="Q63" s="619" t="s">
        <v>163</v>
      </c>
      <c r="R63" s="620" t="s">
        <v>423</v>
      </c>
      <c r="S63" s="621"/>
      <c r="T63" s="621"/>
      <c r="U63" s="620"/>
      <c r="V63" s="622">
        <f>V59+J63</f>
        <v>6376.3</v>
      </c>
      <c r="W63" s="623">
        <f>SUM(W59:W62)</f>
        <v>1</v>
      </c>
    </row>
    <row r="64" spans="1:11" ht="12.75">
      <c r="A64" s="329" t="s">
        <v>217</v>
      </c>
      <c r="B64" s="330"/>
      <c r="C64" s="330"/>
      <c r="D64" s="330"/>
      <c r="E64" s="331">
        <v>8000</v>
      </c>
      <c r="F64" s="332" t="s">
        <v>218</v>
      </c>
      <c r="G64" s="333"/>
      <c r="H64" s="333"/>
      <c r="I64" s="333"/>
      <c r="J64" s="333"/>
      <c r="K64" s="334"/>
    </row>
    <row r="65" spans="1:11" ht="12.75">
      <c r="A65" s="335" t="s">
        <v>180</v>
      </c>
      <c r="B65" s="110"/>
      <c r="C65" s="110"/>
      <c r="D65" s="110"/>
      <c r="E65" s="336">
        <v>24</v>
      </c>
      <c r="F65" s="337"/>
      <c r="G65" s="102"/>
      <c r="H65" s="102"/>
      <c r="I65" s="102"/>
      <c r="J65" s="102"/>
      <c r="K65" s="338"/>
    </row>
    <row r="66" spans="1:11" ht="13.5" thickBot="1">
      <c r="A66" s="335" t="s">
        <v>219</v>
      </c>
      <c r="B66" s="110"/>
      <c r="C66" s="110"/>
      <c r="D66" s="110"/>
      <c r="E66" s="336">
        <f>E64*E65</f>
        <v>192000</v>
      </c>
      <c r="F66" s="339" t="s">
        <v>218</v>
      </c>
      <c r="G66" s="102"/>
      <c r="H66" s="102"/>
      <c r="I66" s="102"/>
      <c r="J66" s="102"/>
      <c r="K66" s="338"/>
    </row>
    <row r="67" spans="1:11" ht="20.25" thickBot="1">
      <c r="A67" s="352" t="s">
        <v>499</v>
      </c>
      <c r="B67" s="311"/>
      <c r="C67" s="311"/>
      <c r="D67" s="311"/>
      <c r="E67" s="340"/>
      <c r="F67" s="341">
        <f>V63</f>
        <v>6376.3</v>
      </c>
      <c r="G67" s="326" t="s">
        <v>500</v>
      </c>
      <c r="H67" s="340"/>
      <c r="I67" s="340"/>
      <c r="J67" s="353">
        <f>V63/E66</f>
        <v>0.03</v>
      </c>
      <c r="K67" s="366"/>
    </row>
    <row r="69" ht="15.75">
      <c r="A69" s="69" t="s">
        <v>169</v>
      </c>
    </row>
    <row r="71" spans="1:19" ht="15.75">
      <c r="A71" s="69" t="str">
        <f>'Trator de Esteira'!A61</f>
        <v>Patos de Minas-MG, 16 de Novembro de 2015.</v>
      </c>
      <c r="G71" s="13"/>
      <c r="M71" s="11"/>
      <c r="S71" s="13"/>
    </row>
    <row r="72" spans="7:19" ht="15">
      <c r="G72" s="11"/>
      <c r="H72" s="11"/>
      <c r="I72" s="11"/>
      <c r="S72" s="11"/>
    </row>
    <row r="73" spans="1:10" ht="12">
      <c r="A73" s="275"/>
      <c r="B73" s="275"/>
      <c r="C73" s="275"/>
      <c r="D73" s="275"/>
      <c r="E73" s="275"/>
      <c r="F73" s="275"/>
      <c r="G73" s="275"/>
      <c r="H73" s="275"/>
      <c r="I73" s="275"/>
      <c r="J73" s="275"/>
    </row>
    <row r="97" ht="2.25" customHeight="1"/>
    <row r="98" ht="12.75" customHeight="1"/>
    <row r="99" ht="0.75" customHeight="1"/>
    <row r="124" spans="12:15" ht="12.75">
      <c r="L124" s="276"/>
      <c r="M124" s="277"/>
      <c r="N124" s="276"/>
      <c r="O124" s="277"/>
    </row>
    <row r="125" spans="12:15" ht="12.75">
      <c r="L125" s="276"/>
      <c r="M125" s="276"/>
      <c r="N125" s="276"/>
      <c r="O125" s="278"/>
    </row>
    <row r="126" spans="12:15" ht="12.75">
      <c r="L126" s="276"/>
      <c r="M126" s="276"/>
      <c r="N126" s="276"/>
      <c r="O126" s="278"/>
    </row>
    <row r="127" spans="12:15" ht="12.75">
      <c r="L127" s="276"/>
      <c r="M127" s="276"/>
      <c r="N127" s="276"/>
      <c r="O127" s="278"/>
    </row>
    <row r="128" spans="12:15" ht="12.75">
      <c r="L128" s="2"/>
      <c r="M128" s="2"/>
      <c r="N128" s="2"/>
      <c r="O128" s="279"/>
    </row>
    <row r="129" spans="1:11" ht="12.75">
      <c r="A129" s="276"/>
      <c r="B129" s="276"/>
      <c r="C129" s="276"/>
      <c r="D129" s="276"/>
      <c r="E129" s="280"/>
      <c r="F129" s="280"/>
      <c r="G129" s="280"/>
      <c r="H129" s="280"/>
      <c r="I129" s="280"/>
      <c r="J129" s="280"/>
      <c r="K129" s="280"/>
    </row>
    <row r="130" spans="1:12" ht="12.75">
      <c r="A130" s="276"/>
      <c r="B130" s="276"/>
      <c r="C130" s="276"/>
      <c r="D130" s="276"/>
      <c r="E130" s="276"/>
      <c r="F130" s="276"/>
      <c r="G130" s="276"/>
      <c r="H130" s="276"/>
      <c r="I130" s="276"/>
      <c r="J130" s="281"/>
      <c r="K130" s="281"/>
      <c r="L130" s="178"/>
    </row>
    <row r="131" spans="1:11" ht="12.7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</row>
    <row r="132" spans="1:11" ht="12.7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</row>
    <row r="133" spans="1:11" ht="12.7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</row>
    <row r="134" spans="1:11" ht="12.75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</row>
    <row r="135" spans="1:12" ht="12.75">
      <c r="A135" s="2"/>
      <c r="B135" s="2"/>
      <c r="C135" s="2"/>
      <c r="D135" s="2"/>
      <c r="E135" s="28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83"/>
      <c r="F136" s="283"/>
      <c r="G136" s="283"/>
      <c r="H136" s="283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83"/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5"/>
      <c r="C141" s="2"/>
      <c r="D141" s="279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1:12" ht="12.75">
      <c r="A144" s="2"/>
      <c r="B144" s="5"/>
      <c r="C144" s="2"/>
      <c r="D144" s="279"/>
      <c r="E144" s="2"/>
      <c r="F144" s="2"/>
      <c r="G144" s="2"/>
      <c r="H144" s="2"/>
      <c r="I144" s="2"/>
      <c r="J144" s="2"/>
      <c r="K144" s="2"/>
      <c r="L144" s="4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"/>
    </row>
    <row r="146" spans="1:12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">
      <c r="A147" s="4"/>
      <c r="B147" s="6"/>
      <c r="C147" s="4"/>
      <c r="D147" s="284"/>
      <c r="E147" s="4"/>
      <c r="F147" s="4"/>
      <c r="G147" s="4"/>
      <c r="H147" s="4"/>
      <c r="I147" s="4"/>
      <c r="J147" s="4"/>
      <c r="K147" s="4"/>
      <c r="L147" s="4"/>
    </row>
    <row r="148" spans="1:12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4"/>
    </row>
    <row r="151" spans="1:12" ht="12">
      <c r="A151" s="4"/>
      <c r="B151" s="4"/>
      <c r="C151" s="6"/>
      <c r="D151" s="4"/>
      <c r="E151" s="4"/>
      <c r="F151" s="4"/>
      <c r="G151" s="285"/>
      <c r="H151" s="285"/>
      <c r="L151" s="4"/>
    </row>
    <row r="152" spans="1:12" ht="12">
      <c r="A152" s="7"/>
      <c r="B152" s="7"/>
      <c r="C152" s="7"/>
      <c r="D152" s="7"/>
      <c r="E152" s="7"/>
      <c r="F152" s="7"/>
      <c r="G152" s="7"/>
      <c r="H152" s="7"/>
      <c r="L152" s="4"/>
    </row>
    <row r="153" spans="1:12" ht="12">
      <c r="A153" s="4"/>
      <c r="B153" s="4"/>
      <c r="C153" s="4"/>
      <c r="D153" s="4"/>
      <c r="E153" s="4"/>
      <c r="F153" s="4"/>
      <c r="G153" s="4"/>
      <c r="H153" s="4"/>
      <c r="L153" s="4"/>
    </row>
    <row r="154" spans="1:12" ht="12">
      <c r="A154" s="4"/>
      <c r="B154" s="4"/>
      <c r="C154" s="4"/>
      <c r="D154" s="4"/>
      <c r="E154" s="4"/>
      <c r="F154" s="4"/>
      <c r="G154" s="4"/>
      <c r="H154" s="4"/>
      <c r="L154" s="4"/>
    </row>
    <row r="155" spans="2:12" ht="12">
      <c r="B155" s="286"/>
      <c r="C155" s="287"/>
      <c r="G155" s="288"/>
      <c r="H155" s="287"/>
      <c r="L155" s="4"/>
    </row>
    <row r="156" spans="7:12" ht="12">
      <c r="G156" s="289"/>
      <c r="L156" s="4"/>
    </row>
    <row r="157" spans="7:12" ht="12">
      <c r="G157" s="289"/>
      <c r="L157" s="4"/>
    </row>
    <row r="158" spans="2:12" ht="12">
      <c r="B158" s="286"/>
      <c r="C158" s="287"/>
      <c r="G158" s="288"/>
      <c r="H158" s="287"/>
      <c r="L158" s="4"/>
    </row>
    <row r="159" spans="7:12" ht="12">
      <c r="G159" s="29"/>
      <c r="L159" s="4"/>
    </row>
    <row r="160" spans="7:12" ht="12">
      <c r="G160" s="29"/>
      <c r="L160" s="4"/>
    </row>
    <row r="161" spans="2:12" ht="12">
      <c r="B161" s="3"/>
      <c r="C161" s="290"/>
      <c r="G161" s="288"/>
      <c r="H161" s="287"/>
      <c r="L161" s="4"/>
    </row>
    <row r="162" spans="7:12" ht="12">
      <c r="G162" s="29"/>
      <c r="L162" s="4"/>
    </row>
    <row r="163" spans="7:12" ht="12">
      <c r="G163" s="29"/>
      <c r="L163" s="4"/>
    </row>
    <row r="164" spans="2:12" ht="12">
      <c r="B164" s="3"/>
      <c r="C164" s="291"/>
      <c r="G164" s="288"/>
      <c r="H164" s="292"/>
      <c r="L164" s="4"/>
    </row>
    <row r="165" spans="10:12" ht="12">
      <c r="J165" s="4"/>
      <c r="K165" s="4"/>
      <c r="L165" s="4"/>
    </row>
    <row r="166" spans="1:12" ht="12">
      <c r="A166" s="293"/>
      <c r="B166" s="293"/>
      <c r="C166" s="293"/>
      <c r="D166" s="293"/>
      <c r="E166" s="293"/>
      <c r="F166" s="293"/>
      <c r="G166" s="293"/>
      <c r="H166" s="293"/>
      <c r="I166" s="293"/>
      <c r="J166" s="7"/>
      <c r="K166" s="7"/>
      <c r="L166" s="4"/>
    </row>
    <row r="167" spans="10:12" ht="12">
      <c r="J167" s="4"/>
      <c r="K167" s="4"/>
      <c r="L167" s="4"/>
    </row>
    <row r="168" spans="2:12" ht="12">
      <c r="B168" s="286"/>
      <c r="D168" s="292"/>
      <c r="J168" s="4"/>
      <c r="K168" s="4"/>
      <c r="L168" s="4"/>
    </row>
    <row r="169" spans="10:12" ht="12">
      <c r="J169" s="4"/>
      <c r="K169" s="4"/>
      <c r="L169" s="4"/>
    </row>
    <row r="170" spans="1:12" ht="12">
      <c r="A170" s="293"/>
      <c r="B170" s="293"/>
      <c r="C170" s="293"/>
      <c r="D170" s="293"/>
      <c r="E170" s="293"/>
      <c r="F170" s="293"/>
      <c r="G170" s="293"/>
      <c r="H170" s="293"/>
      <c r="I170" s="293"/>
      <c r="J170" s="7"/>
      <c r="K170" s="7"/>
      <c r="L170" s="4"/>
    </row>
    <row r="171" spans="1:12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sheetProtection password="F184" sheet="1"/>
  <mergeCells count="6">
    <mergeCell ref="R41:S41"/>
    <mergeCell ref="F48:G48"/>
    <mergeCell ref="A1:K1"/>
    <mergeCell ref="M1:W1"/>
    <mergeCell ref="A5:J5"/>
    <mergeCell ref="R11:S11"/>
  </mergeCells>
  <printOptions horizontalCentered="1"/>
  <pageMargins left="0" right="0" top="0.5905511811023623" bottom="0.1968503937007874" header="0.31496062992125984" footer="0.31496062992125984"/>
  <pageSetup horizontalDpi="600" verticalDpi="600" orientation="landscape" paperSize="9" scale="50" r:id="rId1"/>
  <headerFooter alignWithMargins="0">
    <oddHeader>&amp;CPágina &amp;P de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A51">
      <selection activeCell="G69" sqref="G69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8.625" style="1" customWidth="1"/>
    <col min="6" max="6" width="12.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16384" width="11.00390625" style="1" customWidth="1"/>
  </cols>
  <sheetData>
    <row r="1" spans="1:11" ht="22.5" customHeight="1" thickBot="1">
      <c r="A1" s="817" t="s">
        <v>185</v>
      </c>
      <c r="B1" s="818"/>
      <c r="C1" s="818"/>
      <c r="D1" s="818"/>
      <c r="E1" s="818"/>
      <c r="F1" s="818"/>
      <c r="G1" s="818"/>
      <c r="H1" s="818"/>
      <c r="I1" s="818"/>
      <c r="J1" s="818"/>
      <c r="K1" s="819"/>
    </row>
    <row r="2" spans="1:11" ht="20.25">
      <c r="A2" s="85" t="s">
        <v>186</v>
      </c>
      <c r="B2" s="86"/>
      <c r="C2" s="87"/>
      <c r="D2" s="86"/>
      <c r="E2" s="86"/>
      <c r="F2" s="86"/>
      <c r="G2" s="88"/>
      <c r="H2" s="86"/>
      <c r="I2" s="86"/>
      <c r="J2" s="349"/>
      <c r="K2" s="89"/>
    </row>
    <row r="3" spans="1:11" ht="20.25">
      <c r="A3" s="94" t="s">
        <v>187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</row>
    <row r="4" spans="1:11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</row>
    <row r="6" spans="1:11" ht="12.75">
      <c r="A6" s="104" t="s">
        <v>188</v>
      </c>
      <c r="B6" s="105"/>
      <c r="C6" s="105"/>
      <c r="D6" s="105"/>
      <c r="E6" s="114"/>
      <c r="F6" s="105"/>
      <c r="G6" s="105"/>
      <c r="H6" s="105"/>
      <c r="I6" s="105"/>
      <c r="J6" s="105"/>
      <c r="K6" s="115"/>
    </row>
    <row r="7" spans="1:11" ht="12.7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7"/>
    </row>
    <row r="8" spans="1:11" ht="12.75">
      <c r="A8" s="109"/>
      <c r="B8" s="110"/>
      <c r="C8" s="110"/>
      <c r="D8" s="110"/>
      <c r="E8" s="110"/>
      <c r="F8" s="110"/>
      <c r="G8" s="110"/>
      <c r="H8" s="110"/>
      <c r="I8" s="120"/>
      <c r="J8" s="110"/>
      <c r="K8" s="117"/>
    </row>
    <row r="9" spans="1:11" ht="15.75">
      <c r="A9" s="109" t="s">
        <v>60</v>
      </c>
      <c r="B9" s="111" t="s">
        <v>61</v>
      </c>
      <c r="C9" s="110"/>
      <c r="D9" s="110"/>
      <c r="E9" s="110"/>
      <c r="F9" s="110"/>
      <c r="G9" s="110"/>
      <c r="H9" s="110"/>
      <c r="I9" s="120"/>
      <c r="J9" s="110"/>
      <c r="K9" s="117"/>
    </row>
    <row r="10" spans="1:11" ht="12.75">
      <c r="A10" s="109"/>
      <c r="B10" s="110"/>
      <c r="C10" s="131"/>
      <c r="D10" s="110"/>
      <c r="E10" s="110"/>
      <c r="F10" s="110"/>
      <c r="G10" s="110"/>
      <c r="H10" s="110"/>
      <c r="I10" s="110"/>
      <c r="J10" s="110"/>
      <c r="K10" s="117"/>
    </row>
    <row r="11" spans="1:11" ht="12.75">
      <c r="A11" s="121" t="s">
        <v>65</v>
      </c>
      <c r="B11" s="137">
        <v>0.291666666666667</v>
      </c>
      <c r="C11" s="123" t="s">
        <v>58</v>
      </c>
      <c r="D11" s="137">
        <v>0.708333333333333</v>
      </c>
      <c r="E11" s="124" t="s">
        <v>59</v>
      </c>
      <c r="F11" s="125" t="s">
        <v>189</v>
      </c>
      <c r="G11" s="126"/>
      <c r="H11" s="126"/>
      <c r="I11" s="126"/>
      <c r="J11" s="126"/>
      <c r="K11" s="117"/>
    </row>
    <row r="12" spans="1:11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</row>
    <row r="13" spans="1:11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</row>
    <row r="14" spans="1:11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</row>
    <row r="15" spans="1:11" ht="12.75">
      <c r="A15" s="152"/>
      <c r="B15" s="148"/>
      <c r="C15" s="148"/>
      <c r="D15" s="148"/>
      <c r="E15" s="148"/>
      <c r="F15" s="148"/>
      <c r="G15" s="148"/>
      <c r="H15" s="148"/>
      <c r="I15" s="148"/>
      <c r="J15" s="156"/>
      <c r="K15" s="117"/>
    </row>
    <row r="16" spans="1:11" ht="12.75">
      <c r="A16" s="185"/>
      <c r="B16" s="148"/>
      <c r="C16" s="161"/>
      <c r="D16" s="148"/>
      <c r="E16" s="175">
        <v>4</v>
      </c>
      <c r="F16" s="170" t="s">
        <v>89</v>
      </c>
      <c r="G16" s="170" t="s">
        <v>190</v>
      </c>
      <c r="H16" s="199">
        <f>E16</f>
        <v>4</v>
      </c>
      <c r="I16" s="200">
        <v>801.4</v>
      </c>
      <c r="J16" s="172">
        <f>(H16*I16)</f>
        <v>3205.6</v>
      </c>
      <c r="K16" s="173">
        <f>J16/J55</f>
        <v>0.0797</v>
      </c>
    </row>
    <row r="17" spans="1:11" ht="12.75">
      <c r="A17" s="185"/>
      <c r="B17" s="148"/>
      <c r="C17" s="161"/>
      <c r="D17" s="148"/>
      <c r="E17" s="175">
        <v>1</v>
      </c>
      <c r="F17" s="170" t="s">
        <v>100</v>
      </c>
      <c r="G17" s="170" t="s">
        <v>191</v>
      </c>
      <c r="H17" s="199">
        <f>E17</f>
        <v>1</v>
      </c>
      <c r="I17" s="200">
        <v>1186</v>
      </c>
      <c r="J17" s="172">
        <f>(H17*I17)</f>
        <v>1186</v>
      </c>
      <c r="K17" s="173">
        <f>J17/J55</f>
        <v>0.0295</v>
      </c>
    </row>
    <row r="18" spans="1:11" ht="12.75">
      <c r="A18" s="185"/>
      <c r="B18" s="148"/>
      <c r="C18" s="161"/>
      <c r="D18" s="148"/>
      <c r="E18" s="175">
        <v>8</v>
      </c>
      <c r="F18" s="170" t="s">
        <v>109</v>
      </c>
      <c r="G18" s="170" t="s">
        <v>192</v>
      </c>
      <c r="H18" s="199">
        <f>E18</f>
        <v>8</v>
      </c>
      <c r="I18" s="200">
        <v>801.4</v>
      </c>
      <c r="J18" s="172">
        <f>(H18*I18)</f>
        <v>6411.2</v>
      </c>
      <c r="K18" s="173">
        <f>J18/J55</f>
        <v>0.1594</v>
      </c>
    </row>
    <row r="19" spans="1:11" ht="12.75">
      <c r="A19" s="176">
        <v>50</v>
      </c>
      <c r="B19" s="12" t="s">
        <v>193</v>
      </c>
      <c r="C19" s="159">
        <v>220</v>
      </c>
      <c r="D19" s="12" t="s">
        <v>194</v>
      </c>
      <c r="E19" s="175">
        <v>0</v>
      </c>
      <c r="F19" s="170" t="s">
        <v>113</v>
      </c>
      <c r="G19" s="170" t="s">
        <v>195</v>
      </c>
      <c r="H19" s="199">
        <f>(+A19/100)+1</f>
        <v>1.5</v>
      </c>
      <c r="I19" s="169">
        <f>I16/C19</f>
        <v>3.64</v>
      </c>
      <c r="J19" s="172">
        <f>I19*H19*E19*E16*A26</f>
        <v>0</v>
      </c>
      <c r="K19" s="173">
        <f>J19/J55</f>
        <v>0</v>
      </c>
    </row>
    <row r="20" spans="1:11" ht="12.75">
      <c r="A20" s="176"/>
      <c r="B20" s="12"/>
      <c r="C20" s="159"/>
      <c r="D20" s="12"/>
      <c r="E20" s="175">
        <v>1</v>
      </c>
      <c r="F20" s="170" t="s">
        <v>116</v>
      </c>
      <c r="G20" s="170" t="s">
        <v>196</v>
      </c>
      <c r="H20" s="199">
        <f>E20</f>
        <v>1</v>
      </c>
      <c r="I20" s="350">
        <v>1800</v>
      </c>
      <c r="J20" s="172">
        <f>(H20*I20)</f>
        <v>1800</v>
      </c>
      <c r="K20" s="173">
        <f>J20/J55</f>
        <v>0.0447</v>
      </c>
    </row>
    <row r="21" spans="1:11" ht="12.75">
      <c r="A21" s="176"/>
      <c r="B21" s="12"/>
      <c r="C21" s="159"/>
      <c r="D21" s="12"/>
      <c r="E21" s="175">
        <v>1</v>
      </c>
      <c r="F21" s="170" t="s">
        <v>120</v>
      </c>
      <c r="G21" s="170" t="s">
        <v>197</v>
      </c>
      <c r="H21" s="199">
        <f>E21</f>
        <v>1</v>
      </c>
      <c r="I21" s="350">
        <v>3000</v>
      </c>
      <c r="J21" s="172">
        <f>(H21*I21)</f>
        <v>3000</v>
      </c>
      <c r="K21" s="173">
        <f>J21/J55</f>
        <v>0.0746</v>
      </c>
    </row>
    <row r="22" spans="1:11" ht="12.75">
      <c r="A22" s="760">
        <v>82.26</v>
      </c>
      <c r="B22" s="12" t="s">
        <v>198</v>
      </c>
      <c r="C22" s="159" t="s">
        <v>139</v>
      </c>
      <c r="D22" s="153" t="s">
        <v>84</v>
      </c>
      <c r="E22" s="12" t="s">
        <v>88</v>
      </c>
      <c r="F22" s="170" t="s">
        <v>125</v>
      </c>
      <c r="G22" s="153" t="s">
        <v>199</v>
      </c>
      <c r="H22" s="166">
        <f>A22/100</f>
        <v>0.8226</v>
      </c>
      <c r="I22" s="161">
        <f>SUM(J16:J21)</f>
        <v>15602.8</v>
      </c>
      <c r="J22" s="177">
        <f>(I22*H22)</f>
        <v>12834.86</v>
      </c>
      <c r="K22" s="173">
        <f>J22/J55</f>
        <v>0.3191</v>
      </c>
    </row>
    <row r="23" spans="1:11" ht="12.75">
      <c r="A23" s="176">
        <v>1</v>
      </c>
      <c r="B23" s="12" t="s">
        <v>200</v>
      </c>
      <c r="C23" s="159">
        <v>1</v>
      </c>
      <c r="D23" s="12" t="s">
        <v>87</v>
      </c>
      <c r="E23" s="159">
        <f>E16+E20+E18+E21</f>
        <v>14</v>
      </c>
      <c r="F23" s="170" t="s">
        <v>132</v>
      </c>
      <c r="G23" s="153" t="s">
        <v>201</v>
      </c>
      <c r="H23" s="195">
        <f aca="true" t="shared" si="0" ref="H23:H29">E23</f>
        <v>14</v>
      </c>
      <c r="I23" s="169">
        <v>114.4</v>
      </c>
      <c r="J23" s="177">
        <f>(+I23*H23)*A23/C23</f>
        <v>1601.6</v>
      </c>
      <c r="K23" s="173">
        <f>J23/J55</f>
        <v>0.0398</v>
      </c>
    </row>
    <row r="24" spans="1:11" ht="12.75">
      <c r="A24" s="176">
        <v>1</v>
      </c>
      <c r="B24" s="12" t="s">
        <v>202</v>
      </c>
      <c r="C24" s="159">
        <v>6</v>
      </c>
      <c r="D24" s="12" t="s">
        <v>87</v>
      </c>
      <c r="E24" s="159">
        <f>E23</f>
        <v>14</v>
      </c>
      <c r="F24" s="170" t="s">
        <v>203</v>
      </c>
      <c r="G24" s="153" t="s">
        <v>204</v>
      </c>
      <c r="H24" s="195">
        <f t="shared" si="0"/>
        <v>14</v>
      </c>
      <c r="I24" s="255">
        <v>90</v>
      </c>
      <c r="J24" s="177">
        <f>(I24*H24*A24)/C24</f>
        <v>210</v>
      </c>
      <c r="K24" s="173">
        <f>J24/J55</f>
        <v>0.0052</v>
      </c>
    </row>
    <row r="25" spans="1:11" ht="12.75">
      <c r="A25" s="176">
        <v>1</v>
      </c>
      <c r="B25" s="12" t="s">
        <v>205</v>
      </c>
      <c r="C25" s="159">
        <v>1</v>
      </c>
      <c r="D25" s="12" t="s">
        <v>87</v>
      </c>
      <c r="E25" s="159">
        <f>E23</f>
        <v>14</v>
      </c>
      <c r="F25" s="153" t="s">
        <v>206</v>
      </c>
      <c r="G25" s="153" t="s">
        <v>207</v>
      </c>
      <c r="H25" s="195">
        <f t="shared" si="0"/>
        <v>14</v>
      </c>
      <c r="I25" s="255">
        <v>28</v>
      </c>
      <c r="J25" s="177">
        <f>(+I25*H25)*A25*C25</f>
        <v>392</v>
      </c>
      <c r="K25" s="173">
        <f>J25/J55</f>
        <v>0.0097</v>
      </c>
    </row>
    <row r="26" spans="1:11" ht="12.75">
      <c r="A26" s="176">
        <v>1</v>
      </c>
      <c r="B26" s="12" t="s">
        <v>202</v>
      </c>
      <c r="C26" s="159">
        <v>1</v>
      </c>
      <c r="D26" s="12" t="s">
        <v>87</v>
      </c>
      <c r="E26" s="159">
        <f>E25</f>
        <v>14</v>
      </c>
      <c r="F26" s="153" t="s">
        <v>208</v>
      </c>
      <c r="G26" s="153" t="s">
        <v>209</v>
      </c>
      <c r="H26" s="195">
        <f t="shared" si="0"/>
        <v>14</v>
      </c>
      <c r="I26" s="255">
        <v>16</v>
      </c>
      <c r="J26" s="177">
        <f>(I26*H26*A26)/C26</f>
        <v>224</v>
      </c>
      <c r="K26" s="173">
        <f>J26/J55</f>
        <v>0.0056</v>
      </c>
    </row>
    <row r="27" spans="1:11" ht="12.75">
      <c r="A27" s="176">
        <v>1</v>
      </c>
      <c r="B27" s="12" t="s">
        <v>202</v>
      </c>
      <c r="C27" s="159">
        <v>6</v>
      </c>
      <c r="D27" s="12" t="s">
        <v>87</v>
      </c>
      <c r="E27" s="159">
        <f>E23-E20-E21</f>
        <v>12</v>
      </c>
      <c r="F27" s="153" t="s">
        <v>210</v>
      </c>
      <c r="G27" s="153" t="s">
        <v>211</v>
      </c>
      <c r="H27" s="195">
        <f t="shared" si="0"/>
        <v>12</v>
      </c>
      <c r="I27" s="255">
        <v>120</v>
      </c>
      <c r="J27" s="177">
        <f>(I27*H27*A27)/C27</f>
        <v>240</v>
      </c>
      <c r="K27" s="173">
        <f>J27/J55</f>
        <v>0.006</v>
      </c>
    </row>
    <row r="28" spans="1:11" ht="12.75">
      <c r="A28" s="176">
        <v>44</v>
      </c>
      <c r="B28" s="12" t="s">
        <v>202</v>
      </c>
      <c r="C28" s="159">
        <v>1</v>
      </c>
      <c r="D28" s="12" t="s">
        <v>87</v>
      </c>
      <c r="E28" s="159">
        <f>E24</f>
        <v>14</v>
      </c>
      <c r="F28" s="153" t="s">
        <v>212</v>
      </c>
      <c r="G28" s="153" t="s">
        <v>213</v>
      </c>
      <c r="H28" s="195">
        <f t="shared" si="0"/>
        <v>14</v>
      </c>
      <c r="I28" s="169">
        <v>2.1</v>
      </c>
      <c r="J28" s="177">
        <f>(I28*H28*A28)/C28</f>
        <v>1293.6</v>
      </c>
      <c r="K28" s="173">
        <f>J28/J55</f>
        <v>0.0322</v>
      </c>
    </row>
    <row r="29" spans="1:11" ht="12.75">
      <c r="A29" s="176">
        <v>1</v>
      </c>
      <c r="B29" s="12" t="s">
        <v>202</v>
      </c>
      <c r="C29" s="159">
        <v>1</v>
      </c>
      <c r="D29" s="12" t="s">
        <v>87</v>
      </c>
      <c r="E29" s="159">
        <f>E25</f>
        <v>14</v>
      </c>
      <c r="F29" s="153" t="s">
        <v>214</v>
      </c>
      <c r="G29" s="153" t="s">
        <v>215</v>
      </c>
      <c r="H29" s="195">
        <f t="shared" si="0"/>
        <v>14</v>
      </c>
      <c r="I29" s="169">
        <f>I22</f>
        <v>15602.8</v>
      </c>
      <c r="J29" s="177">
        <f>(I29*0.06)*-1</f>
        <v>-936.17</v>
      </c>
      <c r="K29" s="173">
        <f>J29/J55</f>
        <v>-0.0233</v>
      </c>
    </row>
    <row r="30" spans="1:11" ht="12.75">
      <c r="A30" s="176"/>
      <c r="B30" s="12"/>
      <c r="C30" s="161"/>
      <c r="D30" s="12"/>
      <c r="E30" s="159"/>
      <c r="F30" s="153"/>
      <c r="G30" s="226"/>
      <c r="H30" s="379"/>
      <c r="I30" s="377"/>
      <c r="J30" s="380"/>
      <c r="K30" s="173"/>
    </row>
    <row r="31" spans="1:11" ht="12.75">
      <c r="A31" s="174"/>
      <c r="B31" s="148"/>
      <c r="C31" s="161"/>
      <c r="D31" s="148"/>
      <c r="E31" s="148"/>
      <c r="F31" s="170" t="s">
        <v>216</v>
      </c>
      <c r="G31" s="156" t="s">
        <v>445</v>
      </c>
      <c r="H31" s="749"/>
      <c r="I31" s="751"/>
      <c r="J31" s="380">
        <f>SUM(J16:J29)</f>
        <v>31462.69</v>
      </c>
      <c r="K31" s="173"/>
    </row>
    <row r="32" spans="1:11" ht="12.75">
      <c r="A32" s="174"/>
      <c r="B32" s="148"/>
      <c r="C32" s="161"/>
      <c r="D32" s="148"/>
      <c r="E32" s="424"/>
      <c r="F32" s="170"/>
      <c r="G32" s="752"/>
      <c r="H32" s="753"/>
      <c r="I32" s="751"/>
      <c r="J32" s="750"/>
      <c r="K32" s="173"/>
    </row>
    <row r="33" spans="1:11" ht="12.75">
      <c r="A33" s="760">
        <v>2.5</v>
      </c>
      <c r="B33" s="168" t="s">
        <v>198</v>
      </c>
      <c r="C33" s="161"/>
      <c r="D33" s="12"/>
      <c r="E33" s="424"/>
      <c r="F33" s="170" t="s">
        <v>466</v>
      </c>
      <c r="G33" s="226" t="s">
        <v>448</v>
      </c>
      <c r="H33" s="186">
        <f>A33/100</f>
        <v>0.025</v>
      </c>
      <c r="I33" s="246">
        <f>J31</f>
        <v>31462.69</v>
      </c>
      <c r="J33" s="172">
        <f>H33*I33</f>
        <v>786.57</v>
      </c>
      <c r="K33" s="173">
        <f>J33/J55</f>
        <v>0.0196</v>
      </c>
    </row>
    <row r="34" spans="1:11" ht="12.75">
      <c r="A34" s="152"/>
      <c r="B34" s="148"/>
      <c r="C34" s="179"/>
      <c r="D34" s="148"/>
      <c r="E34" s="148"/>
      <c r="F34" s="148"/>
      <c r="G34" s="148"/>
      <c r="H34" s="148"/>
      <c r="I34" s="179"/>
      <c r="J34" s="187"/>
      <c r="K34" s="173"/>
    </row>
    <row r="35" spans="1:11" ht="12.75">
      <c r="A35" s="141"/>
      <c r="B35" s="142"/>
      <c r="C35" s="144"/>
      <c r="D35" s="142"/>
      <c r="E35" s="142"/>
      <c r="F35" s="223" t="s">
        <v>284</v>
      </c>
      <c r="G35" s="218" t="s">
        <v>467</v>
      </c>
      <c r="H35" s="224"/>
      <c r="I35" s="224"/>
      <c r="J35" s="225">
        <f>SUM(J31:J33)</f>
        <v>32249.26</v>
      </c>
      <c r="K35" s="196">
        <f>J35/J55</f>
        <v>0.8017</v>
      </c>
    </row>
    <row r="36" spans="1:11" ht="12.75">
      <c r="A36" s="197"/>
      <c r="B36" s="113"/>
      <c r="C36" s="113"/>
      <c r="D36" s="113"/>
      <c r="E36" s="113"/>
      <c r="F36" s="154"/>
      <c r="G36" s="154"/>
      <c r="H36" s="154"/>
      <c r="I36" s="154"/>
      <c r="J36" s="127"/>
      <c r="K36" s="228"/>
    </row>
    <row r="37" spans="1:11" ht="20.25">
      <c r="A37" s="229" t="s">
        <v>136</v>
      </c>
      <c r="B37" s="230"/>
      <c r="C37" s="230"/>
      <c r="D37" s="230"/>
      <c r="E37" s="230"/>
      <c r="F37" s="230"/>
      <c r="G37" s="230"/>
      <c r="H37" s="230"/>
      <c r="I37" s="230"/>
      <c r="J37" s="230"/>
      <c r="K37" s="192"/>
    </row>
    <row r="38" spans="1:11" ht="20.25">
      <c r="A38" s="197"/>
      <c r="B38" s="113"/>
      <c r="C38" s="113"/>
      <c r="D38" s="113"/>
      <c r="E38" s="113"/>
      <c r="F38" s="113"/>
      <c r="G38" s="155"/>
      <c r="H38" s="113"/>
      <c r="I38" s="113"/>
      <c r="J38" s="113"/>
      <c r="K38" s="97"/>
    </row>
    <row r="39" spans="1:11" ht="12.75">
      <c r="A39" s="188"/>
      <c r="B39" s="134"/>
      <c r="C39" s="133"/>
      <c r="D39" s="133"/>
      <c r="E39" s="133"/>
      <c r="F39" s="231"/>
      <c r="G39" s="182"/>
      <c r="H39" s="15"/>
      <c r="I39" s="135" t="s">
        <v>64</v>
      </c>
      <c r="J39" s="136"/>
      <c r="K39" s="117"/>
    </row>
    <row r="40" spans="1:11" ht="12.75">
      <c r="A40" s="197"/>
      <c r="B40" s="233"/>
      <c r="C40" s="12" t="s">
        <v>75</v>
      </c>
      <c r="D40" s="12" t="s">
        <v>67</v>
      </c>
      <c r="E40" s="12" t="s">
        <v>69</v>
      </c>
      <c r="F40" s="815" t="s">
        <v>70</v>
      </c>
      <c r="G40" s="816"/>
      <c r="H40" s="12" t="s">
        <v>71</v>
      </c>
      <c r="I40" s="12" t="s">
        <v>72</v>
      </c>
      <c r="J40" s="138" t="s">
        <v>73</v>
      </c>
      <c r="K40" s="117"/>
    </row>
    <row r="41" spans="1:11" ht="12.75">
      <c r="A41" s="197"/>
      <c r="B41" s="233"/>
      <c r="C41" s="142"/>
      <c r="D41" s="142"/>
      <c r="E41" s="142"/>
      <c r="F41" s="145"/>
      <c r="G41" s="126"/>
      <c r="H41" s="150"/>
      <c r="I41" s="144" t="s">
        <v>74</v>
      </c>
      <c r="J41" s="145"/>
      <c r="K41" s="234"/>
    </row>
    <row r="42" spans="1:11" ht="12.75">
      <c r="A42" s="197"/>
      <c r="B42" s="233"/>
      <c r="C42" s="148"/>
      <c r="D42" s="148"/>
      <c r="E42" s="153" t="s">
        <v>146</v>
      </c>
      <c r="F42" s="181" t="s">
        <v>417</v>
      </c>
      <c r="G42" s="106"/>
      <c r="H42" s="235"/>
      <c r="I42" s="161">
        <f>J35</f>
        <v>32249.26</v>
      </c>
      <c r="J42" s="236">
        <f>J35</f>
        <v>32249.26</v>
      </c>
      <c r="K42" s="117"/>
    </row>
    <row r="43" spans="1:11" ht="12.75">
      <c r="A43" s="197"/>
      <c r="B43" s="233"/>
      <c r="C43" s="706"/>
      <c r="D43" s="12"/>
      <c r="E43" s="153"/>
      <c r="F43" s="226"/>
      <c r="G43" s="227"/>
      <c r="H43" s="160"/>
      <c r="I43" s="179"/>
      <c r="J43" s="177"/>
      <c r="K43" s="173"/>
    </row>
    <row r="44" spans="1:11" ht="12.75">
      <c r="A44" s="197"/>
      <c r="B44" s="233"/>
      <c r="C44" s="237">
        <v>5.5</v>
      </c>
      <c r="D44" s="12" t="s">
        <v>51</v>
      </c>
      <c r="E44" s="153" t="s">
        <v>149</v>
      </c>
      <c r="F44" s="226" t="s">
        <v>138</v>
      </c>
      <c r="G44" s="227"/>
      <c r="H44" s="160">
        <f>(C44/100)</f>
        <v>0.055</v>
      </c>
      <c r="I44" s="179"/>
      <c r="J44" s="177">
        <f>(+J42*H44)</f>
        <v>1773.71</v>
      </c>
      <c r="K44" s="173">
        <f>J44/J55</f>
        <v>0.0441</v>
      </c>
    </row>
    <row r="45" spans="1:13" ht="12.75">
      <c r="A45" s="197"/>
      <c r="B45" s="233"/>
      <c r="C45" s="161" t="s">
        <v>139</v>
      </c>
      <c r="D45" s="148"/>
      <c r="E45" s="148"/>
      <c r="F45" s="156"/>
      <c r="G45" s="113"/>
      <c r="H45" s="160"/>
      <c r="I45" s="161"/>
      <c r="J45" s="177"/>
      <c r="K45" s="238"/>
      <c r="M45" s="178"/>
    </row>
    <row r="46" spans="1:11" ht="12.75">
      <c r="A46" s="197"/>
      <c r="B46" s="233"/>
      <c r="C46" s="245"/>
      <c r="D46" s="148"/>
      <c r="E46" s="153" t="s">
        <v>152</v>
      </c>
      <c r="F46" s="226" t="s">
        <v>424</v>
      </c>
      <c r="G46" s="113"/>
      <c r="H46" s="160"/>
      <c r="I46" s="179"/>
      <c r="J46" s="177">
        <f>SUM(J42:J44)</f>
        <v>34022.97</v>
      </c>
      <c r="K46" s="173"/>
    </row>
    <row r="47" spans="1:11" ht="12.75">
      <c r="A47" s="197"/>
      <c r="B47" s="233"/>
      <c r="C47" s="161">
        <v>0</v>
      </c>
      <c r="D47" s="12" t="s">
        <v>51</v>
      </c>
      <c r="E47" s="153" t="s">
        <v>154</v>
      </c>
      <c r="F47" s="226" t="s">
        <v>142</v>
      </c>
      <c r="G47" s="227"/>
      <c r="H47" s="160">
        <f>(C47/100)</f>
        <v>0</v>
      </c>
      <c r="I47" s="246">
        <f>J46</f>
        <v>34022.97</v>
      </c>
      <c r="J47" s="177">
        <f>(+J46*H47)</f>
        <v>0</v>
      </c>
      <c r="K47" s="173">
        <f>J47/J55</f>
        <v>0</v>
      </c>
    </row>
    <row r="48" spans="1:11" ht="12.75">
      <c r="A48" s="197"/>
      <c r="B48" s="233"/>
      <c r="C48" s="161" t="s">
        <v>139</v>
      </c>
      <c r="D48" s="148"/>
      <c r="E48" s="148"/>
      <c r="F48" s="156"/>
      <c r="G48" s="113"/>
      <c r="H48" s="160"/>
      <c r="I48" s="161"/>
      <c r="J48" s="177"/>
      <c r="K48" s="238"/>
    </row>
    <row r="49" spans="1:11" ht="12.75">
      <c r="A49" s="197"/>
      <c r="B49" s="233"/>
      <c r="C49" s="161" t="s">
        <v>139</v>
      </c>
      <c r="D49" s="148"/>
      <c r="E49" s="153" t="s">
        <v>155</v>
      </c>
      <c r="F49" s="226" t="s">
        <v>425</v>
      </c>
      <c r="G49" s="113"/>
      <c r="H49" s="160"/>
      <c r="I49" s="179"/>
      <c r="J49" s="177">
        <f>SUM(J46:J47)</f>
        <v>34022.97</v>
      </c>
      <c r="K49" s="238"/>
    </row>
    <row r="50" spans="1:11" ht="12.75">
      <c r="A50" s="197"/>
      <c r="B50" s="233"/>
      <c r="C50" s="237">
        <v>9</v>
      </c>
      <c r="D50" s="12" t="s">
        <v>51</v>
      </c>
      <c r="E50" s="153" t="s">
        <v>156</v>
      </c>
      <c r="F50" s="226" t="s">
        <v>427</v>
      </c>
      <c r="G50" s="227"/>
      <c r="H50" s="160">
        <f>(C50/100)</f>
        <v>0.09</v>
      </c>
      <c r="I50" s="246">
        <f>J49</f>
        <v>34022.97</v>
      </c>
      <c r="J50" s="177">
        <f>(+J49*H50)</f>
        <v>3062.07</v>
      </c>
      <c r="K50" s="173">
        <f>J50/J55</f>
        <v>0.0761</v>
      </c>
    </row>
    <row r="51" spans="1:11" ht="12.75">
      <c r="A51" s="197"/>
      <c r="B51" s="233"/>
      <c r="C51" s="161" t="s">
        <v>139</v>
      </c>
      <c r="D51" s="148"/>
      <c r="E51" s="148"/>
      <c r="F51" s="156"/>
      <c r="G51" s="113"/>
      <c r="H51" s="160"/>
      <c r="I51" s="179"/>
      <c r="J51" s="177"/>
      <c r="K51" s="238"/>
    </row>
    <row r="52" spans="1:11" ht="12.75">
      <c r="A52" s="197"/>
      <c r="B52" s="233"/>
      <c r="C52" s="161" t="s">
        <v>139</v>
      </c>
      <c r="D52" s="148"/>
      <c r="E52" s="153" t="s">
        <v>158</v>
      </c>
      <c r="F52" s="226" t="s">
        <v>162</v>
      </c>
      <c r="G52" s="113"/>
      <c r="H52" s="160"/>
      <c r="I52" s="179"/>
      <c r="J52" s="177">
        <f>SUM(J49:J50)</f>
        <v>37085.04</v>
      </c>
      <c r="K52" s="238"/>
    </row>
    <row r="53" spans="1:11" ht="12.75">
      <c r="A53" s="197"/>
      <c r="B53" s="233"/>
      <c r="C53" s="255">
        <f>(15%*C50)+(9%*C50)+3.65+2</f>
        <v>7.81</v>
      </c>
      <c r="D53" s="12" t="s">
        <v>51</v>
      </c>
      <c r="E53" s="153" t="s">
        <v>165</v>
      </c>
      <c r="F53" s="226" t="s">
        <v>151</v>
      </c>
      <c r="G53" s="227"/>
      <c r="H53" s="160">
        <f>(C53/100)</f>
        <v>0.0781</v>
      </c>
      <c r="I53" s="179"/>
      <c r="J53" s="177">
        <f>(+J55*H53)</f>
        <v>3141.71</v>
      </c>
      <c r="K53" s="173">
        <f>J53/J55</f>
        <v>0.0781</v>
      </c>
    </row>
    <row r="54" spans="1:11" ht="12.75">
      <c r="A54" s="197"/>
      <c r="B54" s="233"/>
      <c r="C54" s="161" t="s">
        <v>139</v>
      </c>
      <c r="D54" s="148"/>
      <c r="E54" s="148"/>
      <c r="F54" s="156"/>
      <c r="G54" s="113"/>
      <c r="H54" s="179"/>
      <c r="I54" s="179"/>
      <c r="J54" s="177"/>
      <c r="K54" s="238"/>
    </row>
    <row r="55" spans="1:11" ht="13.5" thickBot="1">
      <c r="A55" s="197"/>
      <c r="B55" s="233"/>
      <c r="C55" s="161" t="s">
        <v>139</v>
      </c>
      <c r="D55" s="148"/>
      <c r="E55" s="264" t="s">
        <v>161</v>
      </c>
      <c r="F55" s="265" t="s">
        <v>426</v>
      </c>
      <c r="G55" s="266"/>
      <c r="H55" s="266"/>
      <c r="I55" s="266"/>
      <c r="J55" s="267">
        <f>J52/(1-H53)</f>
        <v>40226.75</v>
      </c>
      <c r="K55" s="268">
        <f>J55/J55</f>
        <v>1</v>
      </c>
    </row>
    <row r="56" spans="1:11" ht="12.75">
      <c r="A56" s="329" t="s">
        <v>217</v>
      </c>
      <c r="B56" s="330"/>
      <c r="C56" s="330"/>
      <c r="D56" s="330"/>
      <c r="E56" s="331">
        <v>8000</v>
      </c>
      <c r="F56" s="332" t="s">
        <v>218</v>
      </c>
      <c r="G56" s="333"/>
      <c r="H56" s="333"/>
      <c r="I56" s="333"/>
      <c r="J56" s="333"/>
      <c r="K56" s="334"/>
    </row>
    <row r="57" spans="1:11" ht="12.75">
      <c r="A57" s="335" t="s">
        <v>180</v>
      </c>
      <c r="B57" s="110"/>
      <c r="C57" s="110"/>
      <c r="D57" s="110"/>
      <c r="E57" s="336">
        <v>24</v>
      </c>
      <c r="F57" s="337"/>
      <c r="G57" s="102"/>
      <c r="H57" s="102"/>
      <c r="I57" s="102"/>
      <c r="J57" s="102"/>
      <c r="K57" s="338"/>
    </row>
    <row r="58" spans="1:11" ht="13.5" thickBot="1">
      <c r="A58" s="335" t="s">
        <v>219</v>
      </c>
      <c r="B58" s="110"/>
      <c r="C58" s="110"/>
      <c r="D58" s="110"/>
      <c r="E58" s="336">
        <f>E56*E57</f>
        <v>192000</v>
      </c>
      <c r="F58" s="339" t="s">
        <v>218</v>
      </c>
      <c r="G58" s="102"/>
      <c r="H58" s="102"/>
      <c r="I58" s="102"/>
      <c r="J58" s="102"/>
      <c r="K58" s="338"/>
    </row>
    <row r="59" spans="1:14" ht="20.25" thickBot="1">
      <c r="A59" s="352" t="s">
        <v>220</v>
      </c>
      <c r="B59" s="311"/>
      <c r="C59" s="311"/>
      <c r="D59" s="311"/>
      <c r="E59" s="340"/>
      <c r="F59" s="341">
        <f>J55</f>
        <v>40226.75</v>
      </c>
      <c r="G59" s="326" t="s">
        <v>441</v>
      </c>
      <c r="H59" s="340"/>
      <c r="I59" s="340"/>
      <c r="J59" s="779">
        <f>F59/E58</f>
        <v>0.21</v>
      </c>
      <c r="K59" s="366"/>
      <c r="N59" s="178"/>
    </row>
    <row r="61" ht="15.75">
      <c r="A61" s="69" t="s">
        <v>169</v>
      </c>
    </row>
    <row r="62" spans="8:9" ht="15">
      <c r="H62" s="11"/>
      <c r="I62" s="11"/>
    </row>
    <row r="63" spans="1:9" ht="15.75">
      <c r="A63" s="69" t="str">
        <f>'Trator de Esteira'!A61</f>
        <v>Patos de Minas-MG, 16 de Novembro de 2015.</v>
      </c>
      <c r="G63" s="13"/>
      <c r="H63" s="11"/>
      <c r="I63" s="11"/>
    </row>
    <row r="66" spans="1:6" ht="12">
      <c r="A66" s="13"/>
      <c r="F66" s="347"/>
    </row>
    <row r="70" spans="1:10" ht="12">
      <c r="A70" s="275"/>
      <c r="B70" s="275"/>
      <c r="C70" s="275"/>
      <c r="D70" s="275"/>
      <c r="E70" s="275"/>
      <c r="F70" s="275"/>
      <c r="G70" s="275"/>
      <c r="H70" s="275"/>
      <c r="I70" s="275"/>
      <c r="J70" s="275"/>
    </row>
    <row r="94" ht="2.25" customHeight="1"/>
    <row r="95" ht="12.75" customHeight="1"/>
    <row r="96" ht="0.75" customHeight="1"/>
    <row r="121" ht="12.75">
      <c r="L121" s="276"/>
    </row>
    <row r="122" ht="12.75">
      <c r="L122" s="276"/>
    </row>
    <row r="123" ht="12.75">
      <c r="L123" s="276"/>
    </row>
    <row r="124" ht="12.75">
      <c r="L124" s="276"/>
    </row>
    <row r="125" ht="12.75">
      <c r="L125" s="2"/>
    </row>
    <row r="126" spans="1:11" ht="12.75">
      <c r="A126" s="276"/>
      <c r="B126" s="276"/>
      <c r="C126" s="276"/>
      <c r="D126" s="276"/>
      <c r="E126" s="280"/>
      <c r="F126" s="280"/>
      <c r="G126" s="280"/>
      <c r="H126" s="280"/>
      <c r="I126" s="280"/>
      <c r="J126" s="280"/>
      <c r="K126" s="280"/>
    </row>
    <row r="127" spans="1:12" ht="12.75">
      <c r="A127" s="276"/>
      <c r="B127" s="276"/>
      <c r="C127" s="276"/>
      <c r="D127" s="276"/>
      <c r="E127" s="276"/>
      <c r="F127" s="276"/>
      <c r="G127" s="276"/>
      <c r="H127" s="276"/>
      <c r="I127" s="276"/>
      <c r="J127" s="281"/>
      <c r="K127" s="281"/>
      <c r="L127" s="178"/>
    </row>
    <row r="128" spans="1:11" ht="12.7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</row>
    <row r="129" spans="1:11" ht="12.7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</row>
    <row r="130" spans="1:11" ht="12.7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</row>
    <row r="131" spans="1:11" ht="12.7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</row>
    <row r="132" spans="1:12" ht="12.75">
      <c r="A132" s="2"/>
      <c r="B132" s="2"/>
      <c r="C132" s="2"/>
      <c r="D132" s="2"/>
      <c r="E132" s="282"/>
      <c r="F132" s="2"/>
      <c r="G132" s="2"/>
      <c r="H132" s="2"/>
      <c r="I132" s="2"/>
      <c r="J132" s="2"/>
      <c r="K132" s="2"/>
      <c r="L132" s="4"/>
    </row>
    <row r="133" spans="1:12" ht="12.75">
      <c r="A133" s="2"/>
      <c r="B133" s="2"/>
      <c r="C133" s="2"/>
      <c r="D133" s="2"/>
      <c r="E133" s="283"/>
      <c r="F133" s="283"/>
      <c r="G133" s="283"/>
      <c r="H133" s="283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83"/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5"/>
      <c r="C138" s="2"/>
      <c r="D138" s="279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5"/>
      <c r="C141" s="2"/>
      <c r="D141" s="279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1:12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">
      <c r="A144" s="4"/>
      <c r="B144" s="6"/>
      <c r="C144" s="4"/>
      <c r="D144" s="284"/>
      <c r="E144" s="4"/>
      <c r="F144" s="4"/>
      <c r="G144" s="4"/>
      <c r="H144" s="4"/>
      <c r="I144" s="4"/>
      <c r="J144" s="4"/>
      <c r="K144" s="4"/>
      <c r="L144" s="4"/>
    </row>
    <row r="145" spans="1:12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4"/>
    </row>
    <row r="148" spans="1:12" ht="12">
      <c r="A148" s="4"/>
      <c r="B148" s="4"/>
      <c r="C148" s="6"/>
      <c r="D148" s="4"/>
      <c r="E148" s="4"/>
      <c r="F148" s="4"/>
      <c r="G148" s="285"/>
      <c r="H148" s="285"/>
      <c r="L148" s="4"/>
    </row>
    <row r="149" spans="1:12" ht="12">
      <c r="A149" s="7"/>
      <c r="B149" s="7"/>
      <c r="C149" s="7"/>
      <c r="D149" s="7"/>
      <c r="E149" s="7"/>
      <c r="F149" s="7"/>
      <c r="G149" s="7"/>
      <c r="H149" s="7"/>
      <c r="L149" s="4"/>
    </row>
    <row r="150" spans="1:12" ht="12">
      <c r="A150" s="4"/>
      <c r="B150" s="4"/>
      <c r="C150" s="4"/>
      <c r="D150" s="4"/>
      <c r="E150" s="4"/>
      <c r="F150" s="4"/>
      <c r="G150" s="4"/>
      <c r="H150" s="4"/>
      <c r="L150" s="4"/>
    </row>
    <row r="151" spans="1:12" ht="12">
      <c r="A151" s="4"/>
      <c r="B151" s="4"/>
      <c r="C151" s="4"/>
      <c r="D151" s="4"/>
      <c r="E151" s="4"/>
      <c r="F151" s="4"/>
      <c r="G151" s="4"/>
      <c r="H151" s="4"/>
      <c r="L151" s="4"/>
    </row>
    <row r="152" spans="2:12" ht="12">
      <c r="B152" s="286"/>
      <c r="C152" s="287"/>
      <c r="G152" s="288"/>
      <c r="H152" s="287"/>
      <c r="L152" s="4"/>
    </row>
    <row r="153" spans="7:12" ht="12">
      <c r="G153" s="289"/>
      <c r="L153" s="4"/>
    </row>
    <row r="154" spans="7:12" ht="12">
      <c r="G154" s="289"/>
      <c r="L154" s="4"/>
    </row>
    <row r="155" spans="2:12" ht="12">
      <c r="B155" s="286"/>
      <c r="C155" s="287"/>
      <c r="G155" s="288"/>
      <c r="H155" s="287"/>
      <c r="L155" s="4"/>
    </row>
    <row r="156" spans="7:12" ht="12">
      <c r="G156" s="29"/>
      <c r="L156" s="4"/>
    </row>
    <row r="157" spans="7:12" ht="12">
      <c r="G157" s="29"/>
      <c r="L157" s="4"/>
    </row>
    <row r="158" spans="2:12" ht="12">
      <c r="B158" s="3"/>
      <c r="C158" s="290"/>
      <c r="G158" s="288"/>
      <c r="H158" s="287"/>
      <c r="L158" s="4"/>
    </row>
    <row r="159" spans="7:12" ht="12">
      <c r="G159" s="29"/>
      <c r="L159" s="4"/>
    </row>
    <row r="160" spans="7:12" ht="12">
      <c r="G160" s="29"/>
      <c r="L160" s="4"/>
    </row>
    <row r="161" spans="2:12" ht="12">
      <c r="B161" s="3"/>
      <c r="C161" s="291"/>
      <c r="G161" s="288"/>
      <c r="H161" s="292"/>
      <c r="L161" s="4"/>
    </row>
    <row r="162" spans="10:12" ht="12">
      <c r="J162" s="4"/>
      <c r="K162" s="4"/>
      <c r="L162" s="4"/>
    </row>
    <row r="163" spans="1:12" ht="12">
      <c r="A163" s="293"/>
      <c r="B163" s="293"/>
      <c r="C163" s="293"/>
      <c r="D163" s="293"/>
      <c r="E163" s="293"/>
      <c r="F163" s="293"/>
      <c r="G163" s="293"/>
      <c r="H163" s="293"/>
      <c r="I163" s="293"/>
      <c r="J163" s="7"/>
      <c r="K163" s="7"/>
      <c r="L163" s="4"/>
    </row>
    <row r="164" spans="10:12" ht="12">
      <c r="J164" s="4"/>
      <c r="K164" s="4"/>
      <c r="L164" s="4"/>
    </row>
    <row r="165" spans="2:12" ht="12">
      <c r="B165" s="286"/>
      <c r="D165" s="292"/>
      <c r="J165" s="4"/>
      <c r="K165" s="4"/>
      <c r="L165" s="4"/>
    </row>
    <row r="166" spans="10:12" ht="12">
      <c r="J166" s="4"/>
      <c r="K166" s="4"/>
      <c r="L166" s="4"/>
    </row>
    <row r="167" spans="1:12" ht="12">
      <c r="A167" s="293"/>
      <c r="B167" s="293"/>
      <c r="C167" s="293"/>
      <c r="D167" s="293"/>
      <c r="E167" s="293"/>
      <c r="F167" s="293"/>
      <c r="G167" s="293"/>
      <c r="H167" s="293"/>
      <c r="I167" s="293"/>
      <c r="J167" s="7"/>
      <c r="K167" s="7"/>
      <c r="L167" s="4"/>
    </row>
    <row r="168" spans="1:12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</sheetData>
  <sheetProtection password="F184" sheet="1"/>
  <mergeCells count="3">
    <mergeCell ref="A1:K1"/>
    <mergeCell ref="A5:J5"/>
    <mergeCell ref="F40:G40"/>
  </mergeCells>
  <printOptions horizontalCentered="1"/>
  <pageMargins left="0.5905511811023623" right="0" top="1.1811023622047245" bottom="0.1968503937007874" header="0.31496062992125984" footer="0.31496062992125984"/>
  <pageSetup horizontalDpi="600" verticalDpi="600" orientation="portrait" paperSize="9" scale="65" r:id="rId1"/>
  <headerFooter alignWithMargins="0">
    <oddHeader>&amp;CPágina &amp;P de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I51">
      <selection activeCell="X71" sqref="X71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2" width="11.00390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817" t="s">
        <v>409</v>
      </c>
      <c r="B1" s="818"/>
      <c r="C1" s="818"/>
      <c r="D1" s="818"/>
      <c r="E1" s="818"/>
      <c r="F1" s="818"/>
      <c r="G1" s="818"/>
      <c r="H1" s="818"/>
      <c r="I1" s="818"/>
      <c r="J1" s="818"/>
      <c r="K1" s="819"/>
      <c r="L1" s="84"/>
      <c r="M1" s="820" t="str">
        <f>A1</f>
        <v>CUSTO   DE   VEÍCULO   DE   APOIO   COLETA   DOMICILIAR</v>
      </c>
      <c r="N1" s="821"/>
      <c r="O1" s="821"/>
      <c r="P1" s="821"/>
      <c r="Q1" s="821"/>
      <c r="R1" s="821"/>
      <c r="S1" s="821"/>
      <c r="T1" s="821"/>
      <c r="U1" s="821"/>
      <c r="V1" s="821"/>
      <c r="W1" s="822"/>
    </row>
    <row r="2" spans="1:23" ht="20.25">
      <c r="A2" s="85" t="s">
        <v>49</v>
      </c>
      <c r="B2" s="86"/>
      <c r="C2" s="87"/>
      <c r="D2" s="86"/>
      <c r="E2" s="86"/>
      <c r="F2" s="86"/>
      <c r="G2" s="88"/>
      <c r="H2" s="86"/>
      <c r="I2" s="86"/>
      <c r="J2" s="86"/>
      <c r="K2" s="89"/>
      <c r="L2" s="84"/>
      <c r="M2" s="90" t="str">
        <f>A2</f>
        <v>DEMONSTRATIVO MENSAL DE CUSTO OPERACIONAL UNITÁRIO DE VEÍCULO </v>
      </c>
      <c r="N2" s="91"/>
      <c r="O2" s="91"/>
      <c r="P2" s="91"/>
      <c r="Q2" s="91"/>
      <c r="R2" s="91"/>
      <c r="S2" s="92"/>
      <c r="T2" s="91"/>
      <c r="U2" s="91"/>
      <c r="V2" s="91"/>
      <c r="W2" s="93"/>
    </row>
    <row r="3" spans="1:23" ht="21" thickBot="1">
      <c r="A3" s="94" t="s">
        <v>306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  <c r="L3" s="84"/>
      <c r="M3" s="98" t="s">
        <v>52</v>
      </c>
      <c r="N3" s="99"/>
      <c r="O3" s="99"/>
      <c r="P3" s="99"/>
      <c r="Q3" s="99"/>
      <c r="R3" s="99"/>
      <c r="S3" s="99"/>
      <c r="T3" s="99"/>
      <c r="U3" s="99"/>
      <c r="V3" s="99"/>
      <c r="W3" s="100" t="s">
        <v>51</v>
      </c>
    </row>
    <row r="4" spans="1:23" ht="12.7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84"/>
      <c r="M4" s="104" t="str">
        <f>A6</f>
        <v>Descrição do Veiculo:  VEÍCULO  DE  PASSEIO   1.0     ou   SIMILAR</v>
      </c>
      <c r="N4" s="105"/>
      <c r="O4" s="105"/>
      <c r="P4" s="105"/>
      <c r="Q4" s="105"/>
      <c r="R4" s="105"/>
      <c r="S4" s="105"/>
      <c r="T4" s="105"/>
      <c r="U4" s="105"/>
      <c r="V4" s="106"/>
      <c r="W4" s="107"/>
    </row>
    <row r="5" spans="1:23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  <c r="L5" s="84"/>
      <c r="M5" s="109" t="str">
        <f>A7</f>
        <v>Ano de Fabricação: 2010</v>
      </c>
      <c r="N5" s="110"/>
      <c r="O5" s="110" t="str">
        <f>A9</f>
        <v>Contratante:</v>
      </c>
      <c r="P5" s="111" t="str">
        <f>B9</f>
        <v>PREFEITURA   MUNICIPAL   DE   PATOS   DE   MINAS - MG</v>
      </c>
      <c r="Q5" s="112"/>
      <c r="R5" s="110"/>
      <c r="S5" s="110"/>
      <c r="T5" s="110"/>
      <c r="U5" s="110"/>
      <c r="V5" s="113"/>
      <c r="W5" s="103"/>
    </row>
    <row r="6" spans="1:23" ht="12.75">
      <c r="A6" s="104" t="s">
        <v>405</v>
      </c>
      <c r="B6" s="105"/>
      <c r="C6" s="105"/>
      <c r="D6" s="105"/>
      <c r="E6" s="114"/>
      <c r="F6" s="105"/>
      <c r="G6" s="105"/>
      <c r="H6" s="105"/>
      <c r="I6" s="105"/>
      <c r="J6" s="106"/>
      <c r="K6" s="115"/>
      <c r="L6" s="84"/>
      <c r="M6" s="109" t="str">
        <f>A8</f>
        <v>Tipo de Combustível: Gasolina ou alcool</v>
      </c>
      <c r="N6" s="110"/>
      <c r="O6" s="110"/>
      <c r="P6" s="110"/>
      <c r="Q6" s="116"/>
      <c r="R6" s="110"/>
      <c r="S6" s="110"/>
      <c r="T6" s="110"/>
      <c r="U6" s="110"/>
      <c r="V6" s="113"/>
      <c r="W6" s="103"/>
    </row>
    <row r="7" spans="1:23" ht="12.75">
      <c r="A7" s="109" t="s">
        <v>406</v>
      </c>
      <c r="B7" s="110"/>
      <c r="C7" s="110"/>
      <c r="D7" s="110"/>
      <c r="E7" s="110"/>
      <c r="F7" s="110"/>
      <c r="G7" s="110"/>
      <c r="H7" s="110"/>
      <c r="I7" s="110"/>
      <c r="J7" s="113"/>
      <c r="K7" s="117"/>
      <c r="L7" s="84"/>
      <c r="M7" s="118" t="str">
        <f>A10</f>
        <v>Km Estimada: </v>
      </c>
      <c r="N7" s="113"/>
      <c r="O7" s="119">
        <f>C10</f>
        <v>1300</v>
      </c>
      <c r="P7" s="113" t="str">
        <f>D10</f>
        <v>Km</v>
      </c>
      <c r="Q7" s="113"/>
      <c r="R7" s="113"/>
      <c r="S7" s="113"/>
      <c r="T7" s="113"/>
      <c r="U7" s="113"/>
      <c r="V7" s="113"/>
      <c r="W7" s="103"/>
    </row>
    <row r="8" spans="1:23" ht="15.75">
      <c r="A8" s="109" t="s">
        <v>407</v>
      </c>
      <c r="B8" s="110"/>
      <c r="C8" s="110"/>
      <c r="D8" s="110"/>
      <c r="E8" s="110"/>
      <c r="F8" s="711"/>
      <c r="G8" s="336"/>
      <c r="H8" s="110" t="s">
        <v>57</v>
      </c>
      <c r="I8" s="120">
        <v>0</v>
      </c>
      <c r="J8" s="113"/>
      <c r="K8" s="117"/>
      <c r="L8" s="84"/>
      <c r="M8" s="121" t="str">
        <f>A11</f>
        <v>Horário: </v>
      </c>
      <c r="N8" s="122" t="str">
        <f>B11</f>
        <v>Administrativo</v>
      </c>
      <c r="O8" s="123"/>
      <c r="P8" s="137"/>
      <c r="Q8" s="124"/>
      <c r="R8" s="125"/>
      <c r="S8" s="126"/>
      <c r="T8" s="126"/>
      <c r="U8" s="126"/>
      <c r="V8" s="126"/>
      <c r="W8" s="103"/>
    </row>
    <row r="9" spans="1:23" ht="15.75">
      <c r="A9" s="109" t="s">
        <v>60</v>
      </c>
      <c r="B9" s="111" t="s">
        <v>61</v>
      </c>
      <c r="C9" s="110"/>
      <c r="D9" s="110"/>
      <c r="E9" s="110"/>
      <c r="F9" s="110"/>
      <c r="G9" s="110"/>
      <c r="H9" s="110"/>
      <c r="I9" s="120"/>
      <c r="J9" s="113"/>
      <c r="K9" s="117"/>
      <c r="L9" s="84"/>
      <c r="M9" s="118"/>
      <c r="N9" s="127"/>
      <c r="O9" s="128"/>
      <c r="P9" s="127"/>
      <c r="Q9" s="129"/>
      <c r="R9" s="127"/>
      <c r="S9" s="113"/>
      <c r="T9" s="113"/>
      <c r="U9" s="113"/>
      <c r="V9" s="113"/>
      <c r="W9" s="103"/>
    </row>
    <row r="10" spans="1:23" ht="12.75">
      <c r="A10" s="109" t="s">
        <v>62</v>
      </c>
      <c r="B10" s="130"/>
      <c r="C10" s="131">
        <v>1300</v>
      </c>
      <c r="D10" s="110" t="s">
        <v>63</v>
      </c>
      <c r="E10" s="130"/>
      <c r="F10" s="130"/>
      <c r="G10" s="113"/>
      <c r="H10" s="113"/>
      <c r="I10" s="113"/>
      <c r="J10" s="113"/>
      <c r="K10" s="117"/>
      <c r="L10" s="84"/>
      <c r="M10" s="132"/>
      <c r="N10" s="133"/>
      <c r="O10" s="133"/>
      <c r="P10" s="133"/>
      <c r="Q10" s="133"/>
      <c r="R10" s="106"/>
      <c r="S10" s="134"/>
      <c r="T10" s="133"/>
      <c r="U10" s="135" t="s">
        <v>64</v>
      </c>
      <c r="V10" s="136"/>
      <c r="W10" s="103"/>
    </row>
    <row r="11" spans="1:23" ht="15.75">
      <c r="A11" s="393" t="s">
        <v>310</v>
      </c>
      <c r="B11" s="826" t="s">
        <v>408</v>
      </c>
      <c r="C11" s="826"/>
      <c r="D11" s="137"/>
      <c r="E11" s="394"/>
      <c r="F11" s="125"/>
      <c r="G11" s="126"/>
      <c r="H11" s="126"/>
      <c r="I11" s="126"/>
      <c r="J11" s="126"/>
      <c r="K11" s="117"/>
      <c r="L11" s="84"/>
      <c r="M11" s="16" t="s">
        <v>66</v>
      </c>
      <c r="N11" s="12" t="s">
        <v>67</v>
      </c>
      <c r="O11" s="12" t="s">
        <v>68</v>
      </c>
      <c r="P11" s="12" t="s">
        <v>67</v>
      </c>
      <c r="Q11" s="12" t="s">
        <v>69</v>
      </c>
      <c r="R11" s="815" t="s">
        <v>70</v>
      </c>
      <c r="S11" s="816"/>
      <c r="T11" s="12" t="s">
        <v>71</v>
      </c>
      <c r="U11" s="12" t="s">
        <v>72</v>
      </c>
      <c r="V11" s="138" t="s">
        <v>73</v>
      </c>
      <c r="W11" s="103"/>
    </row>
    <row r="12" spans="1:23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  <c r="L12" s="84"/>
      <c r="M12" s="141"/>
      <c r="N12" s="142"/>
      <c r="O12" s="142"/>
      <c r="P12" s="142"/>
      <c r="Q12" s="142"/>
      <c r="R12" s="126"/>
      <c r="S12" s="143"/>
      <c r="T12" s="142"/>
      <c r="U12" s="144" t="s">
        <v>74</v>
      </c>
      <c r="V12" s="145"/>
      <c r="W12" s="146"/>
    </row>
    <row r="13" spans="1:23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  <c r="L13" s="84"/>
      <c r="M13" s="132"/>
      <c r="N13" s="133"/>
      <c r="O13" s="133"/>
      <c r="P13" s="148"/>
      <c r="Q13" s="148"/>
      <c r="R13" s="113"/>
      <c r="S13" s="113"/>
      <c r="T13" s="133"/>
      <c r="U13" s="148"/>
      <c r="V13" s="136"/>
      <c r="W13" s="103"/>
    </row>
    <row r="14" spans="1:23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  <c r="L14" s="84"/>
      <c r="M14" s="152"/>
      <c r="N14" s="148"/>
      <c r="O14" s="148"/>
      <c r="P14" s="148"/>
      <c r="Q14" s="153" t="s">
        <v>77</v>
      </c>
      <c r="R14" s="154" t="s">
        <v>78</v>
      </c>
      <c r="S14" s="155"/>
      <c r="T14" s="148"/>
      <c r="U14" s="148"/>
      <c r="V14" s="138" t="s">
        <v>73</v>
      </c>
      <c r="W14" s="103"/>
    </row>
    <row r="15" spans="1:23" ht="12.75">
      <c r="A15" s="152"/>
      <c r="B15" s="148"/>
      <c r="C15" s="148"/>
      <c r="D15" s="148"/>
      <c r="E15" s="148"/>
      <c r="F15" s="148"/>
      <c r="G15" s="148"/>
      <c r="H15" s="148"/>
      <c r="I15" s="148"/>
      <c r="J15" s="156"/>
      <c r="K15" s="117"/>
      <c r="L15" s="84"/>
      <c r="M15" s="152"/>
      <c r="N15" s="148"/>
      <c r="O15" s="148"/>
      <c r="P15" s="148"/>
      <c r="Q15" s="148"/>
      <c r="R15" s="113"/>
      <c r="S15" s="155"/>
      <c r="T15" s="148"/>
      <c r="U15" s="157"/>
      <c r="V15" s="156"/>
      <c r="W15" s="103"/>
    </row>
    <row r="16" spans="1:23" ht="12.75">
      <c r="A16" s="152"/>
      <c r="B16" s="148"/>
      <c r="C16" s="148"/>
      <c r="D16" s="148"/>
      <c r="E16" s="148"/>
      <c r="F16" s="153" t="s">
        <v>79</v>
      </c>
      <c r="G16" s="12" t="s">
        <v>80</v>
      </c>
      <c r="H16" s="148"/>
      <c r="I16" s="148"/>
      <c r="J16" s="156"/>
      <c r="K16" s="117"/>
      <c r="L16" s="84"/>
      <c r="M16" s="158">
        <v>6</v>
      </c>
      <c r="N16" s="12" t="s">
        <v>81</v>
      </c>
      <c r="O16" s="159">
        <v>1000000</v>
      </c>
      <c r="P16" s="12" t="s">
        <v>63</v>
      </c>
      <c r="Q16" s="153" t="s">
        <v>82</v>
      </c>
      <c r="R16" s="154" t="s">
        <v>83</v>
      </c>
      <c r="S16" s="155"/>
      <c r="T16" s="160">
        <f>(M16/O16)</f>
        <v>6E-06</v>
      </c>
      <c r="U16" s="161">
        <f>I18</f>
        <v>16880</v>
      </c>
      <c r="V16" s="162">
        <f aca="true" t="shared" si="0" ref="V16:V22">(+U16*T16)</f>
        <v>0.1013</v>
      </c>
      <c r="W16" s="163">
        <f>V16*C10/V59</f>
        <v>0.0798</v>
      </c>
    </row>
    <row r="17" spans="1:23" ht="12.75">
      <c r="A17" s="152"/>
      <c r="B17" s="148"/>
      <c r="C17" s="148"/>
      <c r="D17" s="148"/>
      <c r="E17" s="148"/>
      <c r="F17" s="148"/>
      <c r="G17" s="148"/>
      <c r="H17" s="148"/>
      <c r="I17" s="148"/>
      <c r="J17" s="156"/>
      <c r="K17" s="117"/>
      <c r="L17" s="84"/>
      <c r="M17" s="164">
        <v>20</v>
      </c>
      <c r="N17" s="12" t="s">
        <v>51</v>
      </c>
      <c r="O17" s="159" t="s">
        <v>84</v>
      </c>
      <c r="P17" s="165" t="s">
        <v>84</v>
      </c>
      <c r="Q17" s="153" t="s">
        <v>85</v>
      </c>
      <c r="R17" s="154" t="s">
        <v>86</v>
      </c>
      <c r="S17" s="155"/>
      <c r="T17" s="160">
        <f>(+M17/100)</f>
        <v>0.2</v>
      </c>
      <c r="U17" s="166">
        <f>V16</f>
        <v>0.1013</v>
      </c>
      <c r="V17" s="162">
        <f t="shared" si="0"/>
        <v>0.0203</v>
      </c>
      <c r="W17" s="163">
        <f>V17*C10/V59</f>
        <v>0.016</v>
      </c>
    </row>
    <row r="18" spans="1:23" ht="12.75">
      <c r="A18" s="167">
        <v>100</v>
      </c>
      <c r="B18" s="168" t="s">
        <v>51</v>
      </c>
      <c r="C18" s="255">
        <f>12*8</f>
        <v>96</v>
      </c>
      <c r="D18" s="12" t="s">
        <v>87</v>
      </c>
      <c r="E18" s="170" t="s">
        <v>88</v>
      </c>
      <c r="F18" s="170" t="s">
        <v>89</v>
      </c>
      <c r="G18" s="170" t="s">
        <v>90</v>
      </c>
      <c r="H18" s="171">
        <f>(+A18/C18)/100</f>
        <v>0.0104167</v>
      </c>
      <c r="I18" s="169">
        <f>I20-(M18*U18)</f>
        <v>16880</v>
      </c>
      <c r="J18" s="172">
        <f>(H18*I18)</f>
        <v>175.83</v>
      </c>
      <c r="K18" s="173">
        <f>J18/V59</f>
        <v>0.1066</v>
      </c>
      <c r="L18" s="84"/>
      <c r="M18" s="174">
        <v>4</v>
      </c>
      <c r="N18" s="12" t="s">
        <v>91</v>
      </c>
      <c r="O18" s="175">
        <v>45000</v>
      </c>
      <c r="P18" s="12" t="s">
        <v>63</v>
      </c>
      <c r="Q18" s="153" t="s">
        <v>92</v>
      </c>
      <c r="R18" s="116" t="s">
        <v>93</v>
      </c>
      <c r="S18" s="112"/>
      <c r="T18" s="160">
        <f>(+M18/O18)</f>
        <v>8.89E-05</v>
      </c>
      <c r="U18" s="255">
        <v>280</v>
      </c>
      <c r="V18" s="162">
        <f t="shared" si="0"/>
        <v>0.0249</v>
      </c>
      <c r="W18" s="163">
        <f>V18*C10/V59</f>
        <v>0.0196</v>
      </c>
    </row>
    <row r="19" spans="1:23" ht="12.75">
      <c r="A19" s="176">
        <f>A18</f>
        <v>100</v>
      </c>
      <c r="B19" s="12" t="s">
        <v>51</v>
      </c>
      <c r="C19" s="161">
        <f>C18</f>
        <v>96</v>
      </c>
      <c r="D19" s="12" t="s">
        <v>87</v>
      </c>
      <c r="E19" s="153" t="s">
        <v>88</v>
      </c>
      <c r="F19" s="153" t="s">
        <v>94</v>
      </c>
      <c r="G19" s="153" t="s">
        <v>95</v>
      </c>
      <c r="H19" s="160">
        <f>(+A19/C19)/100</f>
        <v>0.0104167</v>
      </c>
      <c r="I19" s="161">
        <f>I18*I8</f>
        <v>0</v>
      </c>
      <c r="J19" s="172">
        <f>(H19*I19)</f>
        <v>0</v>
      </c>
      <c r="K19" s="173" t="s">
        <v>96</v>
      </c>
      <c r="L19" s="84"/>
      <c r="M19" s="174">
        <v>1</v>
      </c>
      <c r="N19" s="12" t="s">
        <v>97</v>
      </c>
      <c r="O19" s="237">
        <v>10.5</v>
      </c>
      <c r="P19" s="12" t="s">
        <v>63</v>
      </c>
      <c r="Q19" s="153" t="s">
        <v>98</v>
      </c>
      <c r="R19" s="116" t="s">
        <v>99</v>
      </c>
      <c r="S19" s="112"/>
      <c r="T19" s="160">
        <f>(+M19/O19)</f>
        <v>0.0952381</v>
      </c>
      <c r="U19" s="255">
        <v>3.18</v>
      </c>
      <c r="V19" s="162">
        <f t="shared" si="0"/>
        <v>0.3029</v>
      </c>
      <c r="W19" s="163">
        <f>V19*C10/V59</f>
        <v>0.2388</v>
      </c>
    </row>
    <row r="20" spans="1:23" ht="12.75">
      <c r="A20" s="766">
        <v>18</v>
      </c>
      <c r="B20" s="168" t="s">
        <v>51</v>
      </c>
      <c r="C20" s="169">
        <v>12</v>
      </c>
      <c r="D20" s="12" t="s">
        <v>87</v>
      </c>
      <c r="E20" s="170" t="s">
        <v>88</v>
      </c>
      <c r="F20" s="170" t="s">
        <v>100</v>
      </c>
      <c r="G20" s="170" t="s">
        <v>101</v>
      </c>
      <c r="H20" s="171">
        <f>(+A20/C20)/100</f>
        <v>0.015</v>
      </c>
      <c r="I20" s="255">
        <v>18000</v>
      </c>
      <c r="J20" s="172">
        <f>(H20*I20)</f>
        <v>270</v>
      </c>
      <c r="K20" s="173">
        <f>J20/V59</f>
        <v>0.1637</v>
      </c>
      <c r="L20" s="84"/>
      <c r="M20" s="174">
        <v>5</v>
      </c>
      <c r="N20" s="12" t="s">
        <v>97</v>
      </c>
      <c r="O20" s="159">
        <v>5000</v>
      </c>
      <c r="P20" s="12" t="s">
        <v>63</v>
      </c>
      <c r="Q20" s="153" t="s">
        <v>102</v>
      </c>
      <c r="R20" s="154" t="s">
        <v>103</v>
      </c>
      <c r="S20" s="155"/>
      <c r="T20" s="160">
        <f>(+M20/O20)</f>
        <v>0.001</v>
      </c>
      <c r="U20" s="255">
        <v>18</v>
      </c>
      <c r="V20" s="162">
        <f t="shared" si="0"/>
        <v>0.018</v>
      </c>
      <c r="W20" s="163">
        <f>V20*C10/V59</f>
        <v>0.0142</v>
      </c>
    </row>
    <row r="21" spans="1:23" ht="12.75">
      <c r="A21" s="176">
        <f>A20</f>
        <v>18</v>
      </c>
      <c r="B21" s="12" t="s">
        <v>51</v>
      </c>
      <c r="C21" s="161">
        <f>C20</f>
        <v>12</v>
      </c>
      <c r="D21" s="12" t="s">
        <v>87</v>
      </c>
      <c r="E21" s="153" t="s">
        <v>88</v>
      </c>
      <c r="F21" s="153" t="s">
        <v>104</v>
      </c>
      <c r="G21" s="153" t="s">
        <v>105</v>
      </c>
      <c r="H21" s="160">
        <f>(+A21/C21)/100</f>
        <v>0.015</v>
      </c>
      <c r="I21" s="161">
        <f>I20*I8</f>
        <v>0</v>
      </c>
      <c r="J21" s="172">
        <f>(H21*I21)</f>
        <v>0</v>
      </c>
      <c r="K21" s="173" t="s">
        <v>96</v>
      </c>
      <c r="L21" s="84"/>
      <c r="M21" s="174">
        <v>6</v>
      </c>
      <c r="N21" s="12" t="s">
        <v>97</v>
      </c>
      <c r="O21" s="159">
        <v>30000</v>
      </c>
      <c r="P21" s="12" t="s">
        <v>63</v>
      </c>
      <c r="Q21" s="153" t="s">
        <v>106</v>
      </c>
      <c r="R21" s="154" t="s">
        <v>107</v>
      </c>
      <c r="S21" s="155"/>
      <c r="T21" s="160">
        <f>(+M21/O21)</f>
        <v>0.0002</v>
      </c>
      <c r="U21" s="255">
        <v>22</v>
      </c>
      <c r="V21" s="162">
        <f t="shared" si="0"/>
        <v>0.0044</v>
      </c>
      <c r="W21" s="163">
        <f>V21*C10/V59</f>
        <v>0.0035</v>
      </c>
    </row>
    <row r="22" spans="1:23" ht="12.75">
      <c r="A22" s="176">
        <v>1</v>
      </c>
      <c r="B22" s="12" t="s">
        <v>108</v>
      </c>
      <c r="C22" s="161">
        <v>12</v>
      </c>
      <c r="D22" s="12" t="s">
        <v>87</v>
      </c>
      <c r="E22" s="153" t="s">
        <v>88</v>
      </c>
      <c r="F22" s="153" t="s">
        <v>109</v>
      </c>
      <c r="G22" s="153" t="s">
        <v>110</v>
      </c>
      <c r="H22" s="160">
        <f>A22/C22</f>
        <v>0.0833333</v>
      </c>
      <c r="I22" s="169">
        <v>77</v>
      </c>
      <c r="J22" s="177">
        <f>(I22*H22)</f>
        <v>6.42</v>
      </c>
      <c r="K22" s="173">
        <f>J22/V59</f>
        <v>0.0039</v>
      </c>
      <c r="L22" s="84"/>
      <c r="M22" s="174">
        <v>1</v>
      </c>
      <c r="N22" s="12" t="s">
        <v>91</v>
      </c>
      <c r="O22" s="159">
        <v>1000</v>
      </c>
      <c r="P22" s="12" t="s">
        <v>63</v>
      </c>
      <c r="Q22" s="153" t="s">
        <v>111</v>
      </c>
      <c r="R22" s="154" t="s">
        <v>112</v>
      </c>
      <c r="S22" s="155"/>
      <c r="T22" s="160">
        <f>(+M22/O22)</f>
        <v>0.001</v>
      </c>
      <c r="U22" s="255">
        <v>100</v>
      </c>
      <c r="V22" s="162">
        <f t="shared" si="0"/>
        <v>0.1</v>
      </c>
      <c r="W22" s="163">
        <f>V22*C10/V59</f>
        <v>0.0788</v>
      </c>
    </row>
    <row r="23" spans="1:23" ht="12.75">
      <c r="A23" s="176">
        <v>1</v>
      </c>
      <c r="B23" s="12" t="s">
        <v>108</v>
      </c>
      <c r="C23" s="161">
        <v>12</v>
      </c>
      <c r="D23" s="12" t="s">
        <v>87</v>
      </c>
      <c r="E23" s="153" t="s">
        <v>88</v>
      </c>
      <c r="F23" s="153" t="s">
        <v>113</v>
      </c>
      <c r="G23" s="153" t="s">
        <v>114</v>
      </c>
      <c r="H23" s="160">
        <f>A23/C23</f>
        <v>0.0833333</v>
      </c>
      <c r="I23" s="169">
        <v>450</v>
      </c>
      <c r="J23" s="177">
        <f>(I23*H23)</f>
        <v>37.5</v>
      </c>
      <c r="K23" s="173">
        <f>J23/V59</f>
        <v>0.0227</v>
      </c>
      <c r="L23" s="84"/>
      <c r="M23" s="174"/>
      <c r="N23" s="148"/>
      <c r="O23" s="159"/>
      <c r="P23" s="148"/>
      <c r="Q23" s="148"/>
      <c r="R23" s="113"/>
      <c r="S23" s="155"/>
      <c r="T23" s="179"/>
      <c r="U23" s="161"/>
      <c r="V23" s="162"/>
      <c r="W23" s="146"/>
    </row>
    <row r="24" spans="1:23" ht="12.75">
      <c r="A24" s="395">
        <v>0.05</v>
      </c>
      <c r="B24" s="12" t="s">
        <v>115</v>
      </c>
      <c r="C24" s="161">
        <v>12</v>
      </c>
      <c r="D24" s="12" t="s">
        <v>87</v>
      </c>
      <c r="E24" s="153" t="s">
        <v>88</v>
      </c>
      <c r="F24" s="153" t="s">
        <v>116</v>
      </c>
      <c r="G24" s="153" t="s">
        <v>493</v>
      </c>
      <c r="H24" s="160">
        <f>1/12</f>
        <v>0.0833333</v>
      </c>
      <c r="I24" s="169">
        <f>I20</f>
        <v>18000</v>
      </c>
      <c r="J24" s="177">
        <f>(I24*A24)/12</f>
        <v>75</v>
      </c>
      <c r="K24" s="173">
        <f>J24/V59</f>
        <v>0.0455</v>
      </c>
      <c r="L24" s="84"/>
      <c r="M24" s="180"/>
      <c r="N24" s="148"/>
      <c r="O24" s="179"/>
      <c r="P24" s="148"/>
      <c r="Q24" s="153" t="s">
        <v>118</v>
      </c>
      <c r="R24" s="181" t="s">
        <v>119</v>
      </c>
      <c r="S24" s="182"/>
      <c r="T24" s="106"/>
      <c r="U24" s="134"/>
      <c r="V24" s="183">
        <f>SUM(V16:V22)</f>
        <v>0.5718</v>
      </c>
      <c r="W24" s="184">
        <f>V24*C10/V59</f>
        <v>0.4507</v>
      </c>
    </row>
    <row r="25" spans="1:23" ht="12.75">
      <c r="A25" s="176"/>
      <c r="B25" s="12"/>
      <c r="C25" s="161"/>
      <c r="D25" s="12"/>
      <c r="E25" s="153"/>
      <c r="F25" s="153"/>
      <c r="G25" s="153"/>
      <c r="H25" s="160"/>
      <c r="I25" s="169"/>
      <c r="J25" s="177"/>
      <c r="K25" s="173"/>
      <c r="L25" s="84"/>
      <c r="M25" s="396"/>
      <c r="N25" s="106"/>
      <c r="O25" s="397"/>
      <c r="P25" s="106"/>
      <c r="Q25" s="398"/>
      <c r="R25" s="398"/>
      <c r="S25" s="182"/>
      <c r="T25" s="106"/>
      <c r="U25" s="106"/>
      <c r="V25" s="399"/>
      <c r="W25" s="400"/>
    </row>
    <row r="26" spans="1:23" ht="12.75">
      <c r="A26" s="185"/>
      <c r="B26" s="148"/>
      <c r="C26" s="161"/>
      <c r="D26" s="148"/>
      <c r="E26" s="148"/>
      <c r="F26" s="148"/>
      <c r="G26" s="148"/>
      <c r="H26" s="186"/>
      <c r="I26" s="179"/>
      <c r="J26" s="187"/>
      <c r="K26" s="117"/>
      <c r="L26" s="84"/>
      <c r="M26" s="156"/>
      <c r="N26" s="113"/>
      <c r="O26" s="113"/>
      <c r="P26" s="113"/>
      <c r="Q26" s="155"/>
      <c r="R26" s="155"/>
      <c r="S26" s="155"/>
      <c r="T26" s="113"/>
      <c r="U26" s="127"/>
      <c r="V26" s="401"/>
      <c r="W26" s="191"/>
    </row>
    <row r="27" spans="1:23" ht="12.75">
      <c r="A27" s="185"/>
      <c r="B27" s="148"/>
      <c r="C27" s="161"/>
      <c r="D27" s="148"/>
      <c r="E27" s="148"/>
      <c r="F27" s="153" t="s">
        <v>120</v>
      </c>
      <c r="G27" s="153" t="s">
        <v>121</v>
      </c>
      <c r="H27" s="186"/>
      <c r="I27" s="179"/>
      <c r="J27" s="177">
        <f>SUM(J18:J24)</f>
        <v>564.75</v>
      </c>
      <c r="K27" s="192"/>
      <c r="L27" s="84"/>
      <c r="M27" s="297"/>
      <c r="N27" s="194"/>
      <c r="O27" s="194"/>
      <c r="P27" s="194"/>
      <c r="Q27" s="194"/>
      <c r="R27" s="194"/>
      <c r="S27" s="194"/>
      <c r="T27" s="194"/>
      <c r="U27" s="194"/>
      <c r="V27" s="32"/>
      <c r="W27" s="191"/>
    </row>
    <row r="28" spans="1:23" ht="12.75">
      <c r="A28" s="176">
        <v>100</v>
      </c>
      <c r="B28" s="12" t="s">
        <v>51</v>
      </c>
      <c r="C28" s="161">
        <v>1</v>
      </c>
      <c r="D28" s="12" t="s">
        <v>87</v>
      </c>
      <c r="E28" s="153" t="s">
        <v>88</v>
      </c>
      <c r="F28" s="148"/>
      <c r="G28" s="12" t="s">
        <v>122</v>
      </c>
      <c r="H28" s="195">
        <f>(+A28/C28)/100</f>
        <v>1</v>
      </c>
      <c r="I28" s="161"/>
      <c r="J28" s="177">
        <f>J27*H28</f>
        <v>564.75</v>
      </c>
      <c r="K28" s="196">
        <f>J28/V59</f>
        <v>0.3424</v>
      </c>
      <c r="L28" s="84"/>
      <c r="M28" s="156"/>
      <c r="N28" s="113"/>
      <c r="O28" s="113"/>
      <c r="P28" s="113"/>
      <c r="Q28" s="113"/>
      <c r="R28" s="113"/>
      <c r="S28" s="113"/>
      <c r="T28" s="113"/>
      <c r="U28" s="127"/>
      <c r="V28" s="198"/>
      <c r="W28" s="191"/>
    </row>
    <row r="29" spans="1:23" ht="12.75">
      <c r="A29" s="185"/>
      <c r="B29" s="148"/>
      <c r="C29" s="161"/>
      <c r="D29" s="148"/>
      <c r="E29" s="148"/>
      <c r="F29" s="148"/>
      <c r="G29" s="148"/>
      <c r="H29" s="195"/>
      <c r="I29" s="161"/>
      <c r="J29" s="177"/>
      <c r="K29" s="192"/>
      <c r="L29" s="84"/>
      <c r="M29" s="145"/>
      <c r="N29" s="126"/>
      <c r="O29" s="126"/>
      <c r="P29" s="126"/>
      <c r="Q29" s="126"/>
      <c r="R29" s="126"/>
      <c r="S29" s="126"/>
      <c r="T29" s="126"/>
      <c r="U29" s="125"/>
      <c r="V29" s="402"/>
      <c r="W29" s="191"/>
    </row>
    <row r="30" spans="1:23" ht="12.75">
      <c r="A30" s="167">
        <v>0</v>
      </c>
      <c r="B30" s="168" t="s">
        <v>123</v>
      </c>
      <c r="C30" s="175">
        <f>C10</f>
        <v>1300</v>
      </c>
      <c r="D30" s="168" t="s">
        <v>124</v>
      </c>
      <c r="E30" s="216">
        <f>(+C30*H30)</f>
        <v>0</v>
      </c>
      <c r="F30" s="170" t="s">
        <v>125</v>
      </c>
      <c r="G30" s="202" t="s">
        <v>126</v>
      </c>
      <c r="H30" s="199">
        <f>(+A30/100)</f>
        <v>0</v>
      </c>
      <c r="I30" s="203">
        <f>V24</f>
        <v>0.5718</v>
      </c>
      <c r="J30" s="172">
        <f>(+E30*I30)</f>
        <v>0</v>
      </c>
      <c r="K30" s="173">
        <f>J30/V$59</f>
        <v>0</v>
      </c>
      <c r="L30" s="84"/>
      <c r="M30" s="197"/>
      <c r="N30" s="113"/>
      <c r="O30" s="113"/>
      <c r="P30" s="113"/>
      <c r="Q30" s="113"/>
      <c r="R30" s="113"/>
      <c r="S30" s="113"/>
      <c r="T30" s="113"/>
      <c r="U30" s="127"/>
      <c r="V30" s="127"/>
      <c r="W30" s="103"/>
    </row>
    <row r="31" spans="1:23" ht="12.75">
      <c r="A31" s="176"/>
      <c r="B31" s="12"/>
      <c r="C31" s="159"/>
      <c r="D31" s="12"/>
      <c r="E31" s="159"/>
      <c r="F31" s="153"/>
      <c r="G31" s="153"/>
      <c r="H31" s="411"/>
      <c r="I31" s="169"/>
      <c r="J31" s="177"/>
      <c r="K31" s="173"/>
      <c r="L31" s="84"/>
      <c r="M31" s="101"/>
      <c r="N31" s="102"/>
      <c r="O31" s="102"/>
      <c r="P31" s="102"/>
      <c r="Q31" s="102"/>
      <c r="R31" s="102"/>
      <c r="S31" s="102"/>
      <c r="T31" s="102"/>
      <c r="U31" s="102"/>
      <c r="V31" s="102"/>
      <c r="W31" s="103"/>
    </row>
    <row r="32" spans="1:23" ht="12.75">
      <c r="A32" s="174"/>
      <c r="B32" s="148"/>
      <c r="C32" s="161"/>
      <c r="D32" s="148"/>
      <c r="E32" s="148"/>
      <c r="F32" s="170" t="s">
        <v>132</v>
      </c>
      <c r="G32" s="148" t="s">
        <v>445</v>
      </c>
      <c r="H32" s="186"/>
      <c r="I32" s="157"/>
      <c r="J32" s="177">
        <f>SUM(J28:J30)</f>
        <v>564.75</v>
      </c>
      <c r="K32" s="93"/>
      <c r="L32" s="84"/>
      <c r="M32" s="301"/>
      <c r="N32" s="302"/>
      <c r="O32" s="302"/>
      <c r="P32" s="302"/>
      <c r="Q32" s="303"/>
      <c r="R32" s="302"/>
      <c r="S32" s="302"/>
      <c r="T32" s="302"/>
      <c r="U32" s="304"/>
      <c r="V32" s="302"/>
      <c r="W32" s="93"/>
    </row>
    <row r="33" spans="1:23" ht="20.25">
      <c r="A33" s="174"/>
      <c r="B33" s="148"/>
      <c r="C33" s="161"/>
      <c r="D33" s="148"/>
      <c r="E33" s="424"/>
      <c r="F33" s="170"/>
      <c r="G33" s="170"/>
      <c r="H33" s="423"/>
      <c r="I33" s="428"/>
      <c r="J33" s="425"/>
      <c r="K33" s="93"/>
      <c r="L33" s="84"/>
      <c r="M33" s="94" t="s">
        <v>127</v>
      </c>
      <c r="N33" s="95"/>
      <c r="O33" s="95"/>
      <c r="P33" s="95"/>
      <c r="Q33" s="95"/>
      <c r="R33" s="95"/>
      <c r="S33" s="95"/>
      <c r="T33" s="95"/>
      <c r="U33" s="95"/>
      <c r="V33" s="208"/>
      <c r="W33" s="93"/>
    </row>
    <row r="34" spans="1:23" ht="12.75">
      <c r="A34" s="760">
        <v>2.5</v>
      </c>
      <c r="B34" s="168" t="s">
        <v>198</v>
      </c>
      <c r="C34" s="161"/>
      <c r="D34" s="12"/>
      <c r="E34" s="424"/>
      <c r="F34" s="170" t="s">
        <v>449</v>
      </c>
      <c r="G34" s="226" t="s">
        <v>448</v>
      </c>
      <c r="H34" s="160">
        <f>A34/100</f>
        <v>0.025</v>
      </c>
      <c r="I34" s="246">
        <f>J32</f>
        <v>564.75</v>
      </c>
      <c r="J34" s="172">
        <f>H34*I34</f>
        <v>14.12</v>
      </c>
      <c r="K34" s="173">
        <f>J34/V$59</f>
        <v>0.0086</v>
      </c>
      <c r="L34" s="84"/>
      <c r="M34" s="209"/>
      <c r="N34" s="210"/>
      <c r="O34" s="210"/>
      <c r="P34" s="210"/>
      <c r="Q34" s="210"/>
      <c r="R34" s="210"/>
      <c r="S34" s="210"/>
      <c r="T34" s="210"/>
      <c r="U34" s="210"/>
      <c r="V34" s="210"/>
      <c r="W34" s="93"/>
    </row>
    <row r="35" spans="1:23" ht="12.75">
      <c r="A35" s="176"/>
      <c r="B35" s="12"/>
      <c r="C35" s="161"/>
      <c r="D35" s="12"/>
      <c r="E35" s="159"/>
      <c r="F35" s="153"/>
      <c r="G35" s="153"/>
      <c r="H35" s="195"/>
      <c r="I35" s="169"/>
      <c r="J35" s="177"/>
      <c r="K35" s="173"/>
      <c r="L35" s="84"/>
      <c r="M35" s="188"/>
      <c r="N35" s="106"/>
      <c r="O35" s="133"/>
      <c r="P35" s="133"/>
      <c r="Q35" s="133"/>
      <c r="R35" s="136"/>
      <c r="S35" s="134"/>
      <c r="T35" s="133"/>
      <c r="U35" s="135" t="s">
        <v>64</v>
      </c>
      <c r="V35" s="211"/>
      <c r="W35" s="93"/>
    </row>
    <row r="36" spans="1:23" ht="12.75">
      <c r="A36" s="101"/>
      <c r="B36" s="212"/>
      <c r="C36" s="212"/>
      <c r="D36" s="212"/>
      <c r="E36" s="212"/>
      <c r="F36" s="212"/>
      <c r="G36" s="212"/>
      <c r="H36" s="213"/>
      <c r="I36" s="214"/>
      <c r="J36" s="214"/>
      <c r="K36" s="93"/>
      <c r="L36" s="84"/>
      <c r="M36" s="197"/>
      <c r="N36" s="113"/>
      <c r="O36" s="12" t="s">
        <v>75</v>
      </c>
      <c r="P36" s="12" t="s">
        <v>67</v>
      </c>
      <c r="Q36" s="12" t="s">
        <v>69</v>
      </c>
      <c r="R36" s="815" t="s">
        <v>128</v>
      </c>
      <c r="S36" s="816"/>
      <c r="T36" s="12" t="s">
        <v>71</v>
      </c>
      <c r="U36" s="12" t="s">
        <v>72</v>
      </c>
      <c r="V36" s="177" t="s">
        <v>129</v>
      </c>
      <c r="W36" s="215"/>
    </row>
    <row r="37" spans="1:23" ht="12.75">
      <c r="A37" s="101"/>
      <c r="B37" s="212"/>
      <c r="C37" s="212"/>
      <c r="D37" s="212"/>
      <c r="E37" s="212"/>
      <c r="F37" s="212"/>
      <c r="G37" s="212"/>
      <c r="H37" s="213"/>
      <c r="I37" s="214"/>
      <c r="J37" s="214"/>
      <c r="K37" s="93"/>
      <c r="L37" s="84"/>
      <c r="M37" s="209"/>
      <c r="N37" s="210"/>
      <c r="O37" s="150"/>
      <c r="P37" s="150"/>
      <c r="Q37" s="150"/>
      <c r="R37" s="151"/>
      <c r="S37" s="217"/>
      <c r="T37" s="150"/>
      <c r="U37" s="144" t="s">
        <v>74</v>
      </c>
      <c r="V37" s="151"/>
      <c r="W37" s="103"/>
    </row>
    <row r="38" spans="1:23" ht="12.75">
      <c r="A38" s="152"/>
      <c r="B38" s="148"/>
      <c r="C38" s="179"/>
      <c r="D38" s="148"/>
      <c r="E38" s="148"/>
      <c r="F38" s="148"/>
      <c r="G38" s="148"/>
      <c r="H38" s="148"/>
      <c r="I38" s="179"/>
      <c r="J38" s="187"/>
      <c r="K38" s="173"/>
      <c r="L38" s="84"/>
      <c r="M38" s="197"/>
      <c r="N38" s="113"/>
      <c r="O38" s="148"/>
      <c r="P38" s="133"/>
      <c r="Q38" s="154" t="s">
        <v>130</v>
      </c>
      <c r="R38" s="218" t="s">
        <v>131</v>
      </c>
      <c r="S38" s="219"/>
      <c r="T38" s="220"/>
      <c r="U38" s="221"/>
      <c r="V38" s="39" t="s">
        <v>73</v>
      </c>
      <c r="W38" s="222"/>
    </row>
    <row r="39" spans="1:23" ht="12.75">
      <c r="A39" s="141"/>
      <c r="B39" s="142"/>
      <c r="C39" s="144"/>
      <c r="D39" s="142"/>
      <c r="E39" s="142"/>
      <c r="F39" s="223" t="s">
        <v>203</v>
      </c>
      <c r="G39" s="218" t="s">
        <v>450</v>
      </c>
      <c r="H39" s="224"/>
      <c r="I39" s="224"/>
      <c r="J39" s="225">
        <f>SUM(J32:J34)</f>
        <v>578.87</v>
      </c>
      <c r="K39" s="196">
        <f>J39/V59</f>
        <v>0.351</v>
      </c>
      <c r="L39" s="84"/>
      <c r="M39" s="197"/>
      <c r="N39" s="113"/>
      <c r="O39" s="148"/>
      <c r="P39" s="148"/>
      <c r="Q39" s="154" t="s">
        <v>133</v>
      </c>
      <c r="R39" s="226" t="s">
        <v>134</v>
      </c>
      <c r="S39" s="227"/>
      <c r="T39" s="179"/>
      <c r="U39" s="166">
        <f>V24</f>
        <v>0.5718</v>
      </c>
      <c r="V39" s="162">
        <f>$V$24</f>
        <v>0.5718</v>
      </c>
      <c r="W39" s="103"/>
    </row>
    <row r="40" spans="1:23" ht="12.75">
      <c r="A40" s="197"/>
      <c r="B40" s="113"/>
      <c r="C40" s="113"/>
      <c r="D40" s="113"/>
      <c r="E40" s="113"/>
      <c r="F40" s="154"/>
      <c r="G40" s="154"/>
      <c r="H40" s="154"/>
      <c r="I40" s="154"/>
      <c r="J40" s="127"/>
      <c r="K40" s="228"/>
      <c r="L40" s="84"/>
      <c r="M40" s="197"/>
      <c r="N40" s="113"/>
      <c r="O40" s="161"/>
      <c r="P40" s="12"/>
      <c r="Q40" s="154"/>
      <c r="R40" s="226"/>
      <c r="S40" s="227"/>
      <c r="T40" s="160"/>
      <c r="U40" s="179"/>
      <c r="V40" s="162"/>
      <c r="W40" s="163"/>
    </row>
    <row r="41" spans="1:23" ht="20.25">
      <c r="A41" s="229" t="s">
        <v>136</v>
      </c>
      <c r="B41" s="230"/>
      <c r="C41" s="230"/>
      <c r="D41" s="230"/>
      <c r="E41" s="230"/>
      <c r="F41" s="230"/>
      <c r="G41" s="230"/>
      <c r="H41" s="230"/>
      <c r="I41" s="230"/>
      <c r="J41" s="230"/>
      <c r="K41" s="192"/>
      <c r="L41" s="84"/>
      <c r="M41" s="197"/>
      <c r="N41" s="113"/>
      <c r="O41" s="161">
        <f>C48</f>
        <v>5.5</v>
      </c>
      <c r="P41" s="12" t="s">
        <v>51</v>
      </c>
      <c r="Q41" s="154" t="s">
        <v>135</v>
      </c>
      <c r="R41" s="226" t="s">
        <v>138</v>
      </c>
      <c r="S41" s="227"/>
      <c r="T41" s="160">
        <f>(+O41/100)</f>
        <v>0.055</v>
      </c>
      <c r="U41" s="179"/>
      <c r="V41" s="162">
        <f>(+V39*T41)</f>
        <v>0.0314</v>
      </c>
      <c r="W41" s="163">
        <f>V41*C10/V59</f>
        <v>0.0248</v>
      </c>
    </row>
    <row r="42" spans="1:23" ht="20.25">
      <c r="A42" s="197"/>
      <c r="B42" s="113"/>
      <c r="C42" s="113"/>
      <c r="D42" s="113"/>
      <c r="E42" s="113"/>
      <c r="F42" s="113"/>
      <c r="G42" s="155"/>
      <c r="H42" s="113"/>
      <c r="I42" s="113"/>
      <c r="J42" s="113"/>
      <c r="K42" s="97"/>
      <c r="L42" s="84"/>
      <c r="M42" s="197"/>
      <c r="N42" s="113"/>
      <c r="O42" s="161" t="s">
        <v>139</v>
      </c>
      <c r="P42" s="148"/>
      <c r="Q42" s="154" t="s">
        <v>137</v>
      </c>
      <c r="R42" s="226" t="s">
        <v>418</v>
      </c>
      <c r="S42" s="227"/>
      <c r="T42" s="179"/>
      <c r="U42" s="179"/>
      <c r="V42" s="162">
        <f>SUM(V39:V41)</f>
        <v>0.6032</v>
      </c>
      <c r="W42" s="163"/>
    </row>
    <row r="43" spans="1:23" ht="12.75">
      <c r="A43" s="188"/>
      <c r="B43" s="134"/>
      <c r="C43" s="133"/>
      <c r="D43" s="133"/>
      <c r="E43" s="133"/>
      <c r="F43" s="231"/>
      <c r="G43" s="182"/>
      <c r="H43" s="15"/>
      <c r="I43" s="135" t="s">
        <v>64</v>
      </c>
      <c r="J43" s="136"/>
      <c r="K43" s="117"/>
      <c r="L43" s="84"/>
      <c r="M43" s="197"/>
      <c r="N43" s="113"/>
      <c r="O43" s="161">
        <f>C51</f>
        <v>0</v>
      </c>
      <c r="P43" s="12" t="s">
        <v>51</v>
      </c>
      <c r="Q43" s="154" t="s">
        <v>140</v>
      </c>
      <c r="R43" s="226" t="s">
        <v>142</v>
      </c>
      <c r="S43" s="227"/>
      <c r="T43" s="160">
        <f>(+O43/100)</f>
        <v>0</v>
      </c>
      <c r="U43" s="232">
        <f>V42</f>
        <v>0.6032</v>
      </c>
      <c r="V43" s="162">
        <f>(+V42*T43)</f>
        <v>0</v>
      </c>
      <c r="W43" s="163">
        <f>V43*C10/V59</f>
        <v>0</v>
      </c>
    </row>
    <row r="44" spans="1:23" ht="12.75">
      <c r="A44" s="197"/>
      <c r="B44" s="233"/>
      <c r="C44" s="12" t="s">
        <v>75</v>
      </c>
      <c r="D44" s="12" t="s">
        <v>67</v>
      </c>
      <c r="E44" s="12" t="s">
        <v>69</v>
      </c>
      <c r="F44" s="815" t="s">
        <v>70</v>
      </c>
      <c r="G44" s="816"/>
      <c r="H44" s="12" t="s">
        <v>71</v>
      </c>
      <c r="I44" s="12" t="s">
        <v>72</v>
      </c>
      <c r="J44" s="138" t="s">
        <v>73</v>
      </c>
      <c r="K44" s="117"/>
      <c r="L44" s="84"/>
      <c r="M44" s="197"/>
      <c r="N44" s="113"/>
      <c r="O44" s="161" t="s">
        <v>139</v>
      </c>
      <c r="P44" s="148"/>
      <c r="Q44" s="154" t="s">
        <v>141</v>
      </c>
      <c r="R44" s="226" t="s">
        <v>419</v>
      </c>
      <c r="S44" s="227"/>
      <c r="T44" s="179"/>
      <c r="U44" s="179"/>
      <c r="V44" s="162">
        <f>SUM(V42:V43)</f>
        <v>0.6032</v>
      </c>
      <c r="W44" s="163"/>
    </row>
    <row r="45" spans="1:23" ht="12.75">
      <c r="A45" s="197"/>
      <c r="B45" s="233"/>
      <c r="C45" s="142"/>
      <c r="D45" s="142"/>
      <c r="E45" s="142"/>
      <c r="F45" s="145"/>
      <c r="G45" s="126"/>
      <c r="H45" s="150"/>
      <c r="I45" s="144" t="s">
        <v>74</v>
      </c>
      <c r="J45" s="145"/>
      <c r="K45" s="234"/>
      <c r="L45" s="84"/>
      <c r="M45" s="197"/>
      <c r="N45" s="113"/>
      <c r="O45" s="161">
        <f>C54</f>
        <v>9</v>
      </c>
      <c r="P45" s="12" t="s">
        <v>51</v>
      </c>
      <c r="Q45" s="154" t="s">
        <v>143</v>
      </c>
      <c r="R45" s="226" t="s">
        <v>145</v>
      </c>
      <c r="S45" s="227"/>
      <c r="T45" s="160">
        <f>(+O45/100)</f>
        <v>0.09</v>
      </c>
      <c r="U45" s="232">
        <f>V44</f>
        <v>0.6032</v>
      </c>
      <c r="V45" s="162">
        <f>(+V44*T45)</f>
        <v>0.0543</v>
      </c>
      <c r="W45" s="163">
        <f>V45*C10/V59</f>
        <v>0.0428</v>
      </c>
    </row>
    <row r="46" spans="1:23" ht="12.75">
      <c r="A46" s="197"/>
      <c r="B46" s="233"/>
      <c r="C46" s="148"/>
      <c r="D46" s="148"/>
      <c r="E46" s="153" t="s">
        <v>146</v>
      </c>
      <c r="F46" s="181" t="s">
        <v>176</v>
      </c>
      <c r="G46" s="106"/>
      <c r="H46" s="235"/>
      <c r="I46" s="161">
        <f>J39</f>
        <v>578.87</v>
      </c>
      <c r="J46" s="236">
        <f>J39</f>
        <v>578.87</v>
      </c>
      <c r="K46" s="117"/>
      <c r="L46" s="84"/>
      <c r="M46" s="197"/>
      <c r="N46" s="113"/>
      <c r="O46" s="161" t="s">
        <v>139</v>
      </c>
      <c r="P46" s="148"/>
      <c r="Q46" s="154" t="s">
        <v>144</v>
      </c>
      <c r="R46" s="226" t="s">
        <v>420</v>
      </c>
      <c r="S46" s="227"/>
      <c r="T46" s="179"/>
      <c r="U46" s="179"/>
      <c r="V46" s="162">
        <f>SUM(V44:V45)</f>
        <v>0.6575</v>
      </c>
      <c r="W46" s="163"/>
    </row>
    <row r="47" spans="1:23" ht="12.75">
      <c r="A47" s="197"/>
      <c r="B47" s="233"/>
      <c r="C47" s="706"/>
      <c r="D47" s="12"/>
      <c r="E47" s="153"/>
      <c r="F47" s="226"/>
      <c r="G47" s="227"/>
      <c r="H47" s="160"/>
      <c r="I47" s="179"/>
      <c r="J47" s="177"/>
      <c r="K47" s="173"/>
      <c r="L47" s="84"/>
      <c r="M47" s="197"/>
      <c r="N47" s="113"/>
      <c r="O47" s="161">
        <f>C57</f>
        <v>7.81</v>
      </c>
      <c r="P47" s="12" t="s">
        <v>51</v>
      </c>
      <c r="Q47" s="154" t="s">
        <v>150</v>
      </c>
      <c r="R47" s="226" t="s">
        <v>151</v>
      </c>
      <c r="S47" s="227"/>
      <c r="T47" s="160">
        <f>(+O47/100)</f>
        <v>0.0781</v>
      </c>
      <c r="U47" s="179"/>
      <c r="V47" s="162">
        <f>(+V49*T47)</f>
        <v>0.0557</v>
      </c>
      <c r="W47" s="163">
        <f>V47*C10/V59</f>
        <v>0.0439</v>
      </c>
    </row>
    <row r="48" spans="1:23" ht="12.75">
      <c r="A48" s="197"/>
      <c r="B48" s="233"/>
      <c r="C48" s="237">
        <v>5.5</v>
      </c>
      <c r="D48" s="12" t="s">
        <v>51</v>
      </c>
      <c r="E48" s="153" t="s">
        <v>149</v>
      </c>
      <c r="F48" s="226" t="s">
        <v>138</v>
      </c>
      <c r="G48" s="227"/>
      <c r="H48" s="160">
        <f>(C48/100)</f>
        <v>0.055</v>
      </c>
      <c r="I48" s="179"/>
      <c r="J48" s="177">
        <f>(+J46*H48)</f>
        <v>31.84</v>
      </c>
      <c r="K48" s="173">
        <f>J48/V59</f>
        <v>0.0193</v>
      </c>
      <c r="L48" s="84"/>
      <c r="M48" s="197"/>
      <c r="N48" s="113"/>
      <c r="O48" s="161" t="s">
        <v>139</v>
      </c>
      <c r="P48" s="148"/>
      <c r="Q48" s="113"/>
      <c r="R48" s="156"/>
      <c r="S48" s="233"/>
      <c r="T48" s="179"/>
      <c r="U48" s="179"/>
      <c r="V48" s="162"/>
      <c r="W48" s="146"/>
    </row>
    <row r="49" spans="1:23" ht="12.75">
      <c r="A49" s="197"/>
      <c r="B49" s="233"/>
      <c r="C49" s="161" t="s">
        <v>139</v>
      </c>
      <c r="D49" s="148"/>
      <c r="E49" s="148"/>
      <c r="F49" s="156"/>
      <c r="G49" s="113"/>
      <c r="H49" s="160"/>
      <c r="I49" s="161"/>
      <c r="J49" s="177"/>
      <c r="K49" s="238"/>
      <c r="L49" s="84"/>
      <c r="M49" s="239"/>
      <c r="N49" s="126"/>
      <c r="O49" s="240" t="s">
        <v>139</v>
      </c>
      <c r="P49" s="142"/>
      <c r="Q49" s="241" t="s">
        <v>148</v>
      </c>
      <c r="R49" s="218" t="s">
        <v>421</v>
      </c>
      <c r="S49" s="221"/>
      <c r="T49" s="242"/>
      <c r="U49" s="220"/>
      <c r="V49" s="243">
        <f>V46/(1-T47)</f>
        <v>0.7132</v>
      </c>
      <c r="W49" s="244">
        <f>V49*C10/V59</f>
        <v>0.5622</v>
      </c>
    </row>
    <row r="50" spans="1:23" ht="12.75">
      <c r="A50" s="197"/>
      <c r="B50" s="233"/>
      <c r="C50" s="245"/>
      <c r="D50" s="148"/>
      <c r="E50" s="153" t="s">
        <v>152</v>
      </c>
      <c r="F50" s="226" t="s">
        <v>424</v>
      </c>
      <c r="G50" s="113"/>
      <c r="H50" s="160"/>
      <c r="I50" s="179"/>
      <c r="J50" s="177">
        <f>SUM(J46:J48)</f>
        <v>610.71</v>
      </c>
      <c r="K50" s="173"/>
      <c r="L50" s="84"/>
      <c r="M50" s="193"/>
      <c r="N50" s="194"/>
      <c r="O50" s="194"/>
      <c r="P50" s="194"/>
      <c r="Q50" s="194"/>
      <c r="R50" s="194"/>
      <c r="S50" s="194"/>
      <c r="T50" s="194"/>
      <c r="U50" s="194"/>
      <c r="V50" s="194"/>
      <c r="W50" s="103"/>
    </row>
    <row r="51" spans="1:23" ht="12.75">
      <c r="A51" s="197"/>
      <c r="B51" s="233"/>
      <c r="C51" s="161">
        <v>0</v>
      </c>
      <c r="D51" s="12" t="s">
        <v>51</v>
      </c>
      <c r="E51" s="153" t="s">
        <v>154</v>
      </c>
      <c r="F51" s="226" t="s">
        <v>142</v>
      </c>
      <c r="G51" s="227"/>
      <c r="H51" s="160">
        <f>(C51/100)</f>
        <v>0</v>
      </c>
      <c r="I51" s="246">
        <f>J50</f>
        <v>610.71</v>
      </c>
      <c r="J51" s="177">
        <f>(+J50*H51)</f>
        <v>0</v>
      </c>
      <c r="K51" s="173">
        <f>J51/V59</f>
        <v>0</v>
      </c>
      <c r="L51" s="84"/>
      <c r="M51" s="197"/>
      <c r="N51" s="113"/>
      <c r="O51" s="113"/>
      <c r="P51" s="113"/>
      <c r="Q51" s="113"/>
      <c r="R51" s="113"/>
      <c r="S51" s="113"/>
      <c r="T51" s="113"/>
      <c r="U51" s="113"/>
      <c r="V51" s="113"/>
      <c r="W51" s="103"/>
    </row>
    <row r="52" spans="1:23" ht="13.5" thickBot="1">
      <c r="A52" s="197"/>
      <c r="B52" s="233"/>
      <c r="C52" s="161" t="s">
        <v>139</v>
      </c>
      <c r="D52" s="148"/>
      <c r="E52" s="148"/>
      <c r="F52" s="156"/>
      <c r="G52" s="113"/>
      <c r="H52" s="160"/>
      <c r="I52" s="161"/>
      <c r="J52" s="177"/>
      <c r="K52" s="238"/>
      <c r="L52" s="84"/>
      <c r="M52" s="197"/>
      <c r="N52" s="113"/>
      <c r="O52" s="113"/>
      <c r="P52" s="113"/>
      <c r="Q52" s="113"/>
      <c r="R52" s="113"/>
      <c r="S52" s="113"/>
      <c r="T52" s="113"/>
      <c r="U52" s="113"/>
      <c r="V52" s="113"/>
      <c r="W52" s="103"/>
    </row>
    <row r="53" spans="1:23" ht="20.25">
      <c r="A53" s="197"/>
      <c r="B53" s="233"/>
      <c r="C53" s="161" t="s">
        <v>139</v>
      </c>
      <c r="D53" s="148"/>
      <c r="E53" s="153" t="s">
        <v>155</v>
      </c>
      <c r="F53" s="226" t="s">
        <v>425</v>
      </c>
      <c r="G53" s="113"/>
      <c r="H53" s="160"/>
      <c r="I53" s="179"/>
      <c r="J53" s="177">
        <f>SUM(J50:J51)</f>
        <v>610.71</v>
      </c>
      <c r="K53" s="238"/>
      <c r="L53" s="84"/>
      <c r="M53" s="197"/>
      <c r="N53" s="113"/>
      <c r="O53" s="113"/>
      <c r="P53" s="113"/>
      <c r="Q53" s="247" t="s">
        <v>157</v>
      </c>
      <c r="R53" s="248"/>
      <c r="S53" s="248"/>
      <c r="T53" s="248"/>
      <c r="U53" s="248"/>
      <c r="V53" s="248"/>
      <c r="W53" s="103"/>
    </row>
    <row r="54" spans="1:23" ht="13.5" thickBot="1">
      <c r="A54" s="197"/>
      <c r="B54" s="233"/>
      <c r="C54" s="237">
        <v>9</v>
      </c>
      <c r="D54" s="12" t="s">
        <v>51</v>
      </c>
      <c r="E54" s="153" t="s">
        <v>156</v>
      </c>
      <c r="F54" s="226" t="s">
        <v>427</v>
      </c>
      <c r="G54" s="227"/>
      <c r="H54" s="160">
        <f>(C54/100)</f>
        <v>0.09</v>
      </c>
      <c r="I54" s="246">
        <f>J53</f>
        <v>610.71</v>
      </c>
      <c r="J54" s="177">
        <f>(+J53*H54)</f>
        <v>54.96</v>
      </c>
      <c r="K54" s="173">
        <f>J54/V59</f>
        <v>0.0333</v>
      </c>
      <c r="L54" s="84"/>
      <c r="M54" s="197"/>
      <c r="N54" s="113"/>
      <c r="O54" s="113"/>
      <c r="P54" s="113"/>
      <c r="Q54" s="713"/>
      <c r="R54" s="714"/>
      <c r="S54" s="714"/>
      <c r="T54" s="714"/>
      <c r="U54" s="714"/>
      <c r="V54" s="714"/>
      <c r="W54" s="103"/>
    </row>
    <row r="55" spans="1:23" ht="13.5" thickBot="1">
      <c r="A55" s="197"/>
      <c r="B55" s="233"/>
      <c r="C55" s="161" t="s">
        <v>139</v>
      </c>
      <c r="D55" s="148"/>
      <c r="E55" s="148"/>
      <c r="F55" s="156"/>
      <c r="G55" s="113"/>
      <c r="H55" s="160"/>
      <c r="I55" s="179"/>
      <c r="J55" s="177"/>
      <c r="K55" s="238"/>
      <c r="L55" s="84"/>
      <c r="M55" s="197"/>
      <c r="N55" s="113"/>
      <c r="O55" s="113"/>
      <c r="P55" s="113"/>
      <c r="Q55" s="731" t="s">
        <v>422</v>
      </c>
      <c r="R55" s="251" t="s">
        <v>431</v>
      </c>
      <c r="S55" s="252"/>
      <c r="T55" s="252"/>
      <c r="U55" s="252"/>
      <c r="V55" s="715">
        <f>C10*V49</f>
        <v>927.16</v>
      </c>
      <c r="W55" s="712">
        <f>V55/V59</f>
        <v>0.5622</v>
      </c>
    </row>
    <row r="56" spans="1:23" ht="13.5" thickBot="1">
      <c r="A56" s="197"/>
      <c r="B56" s="233"/>
      <c r="C56" s="161" t="s">
        <v>139</v>
      </c>
      <c r="D56" s="148"/>
      <c r="E56" s="153" t="s">
        <v>158</v>
      </c>
      <c r="F56" s="226" t="s">
        <v>162</v>
      </c>
      <c r="G56" s="113"/>
      <c r="H56" s="160"/>
      <c r="I56" s="179"/>
      <c r="J56" s="177">
        <f>SUM(J53:J54)</f>
        <v>665.67</v>
      </c>
      <c r="K56" s="238"/>
      <c r="L56" s="84"/>
      <c r="M56" s="197"/>
      <c r="N56" s="113"/>
      <c r="O56" s="113"/>
      <c r="P56" s="113"/>
      <c r="Q56" s="732" t="s">
        <v>159</v>
      </c>
      <c r="R56" s="154" t="s">
        <v>164</v>
      </c>
      <c r="S56" s="113"/>
      <c r="T56" s="113"/>
      <c r="U56" s="154"/>
      <c r="V56" s="716">
        <f>J59</f>
        <v>722.06</v>
      </c>
      <c r="W56" s="712">
        <f>V56/V59</f>
        <v>0.4378</v>
      </c>
    </row>
    <row r="57" spans="1:23" ht="19.5" thickBot="1">
      <c r="A57" s="197"/>
      <c r="B57" s="233"/>
      <c r="C57" s="255">
        <f>(15%*C54)+(9%*C54)+3.65+2</f>
        <v>7.81</v>
      </c>
      <c r="D57" s="12" t="s">
        <v>51</v>
      </c>
      <c r="E57" s="153" t="s">
        <v>165</v>
      </c>
      <c r="F57" s="226" t="s">
        <v>151</v>
      </c>
      <c r="G57" s="227"/>
      <c r="H57" s="160">
        <f>(C57/100)</f>
        <v>0.0781</v>
      </c>
      <c r="I57" s="179"/>
      <c r="J57" s="177">
        <f>(+J59*H57)</f>
        <v>56.39</v>
      </c>
      <c r="K57" s="173">
        <f>J57/V59</f>
        <v>0.0342</v>
      </c>
      <c r="L57" s="84"/>
      <c r="M57" s="197"/>
      <c r="N57" s="113"/>
      <c r="O57" s="113"/>
      <c r="P57" s="113"/>
      <c r="Q57" s="717"/>
      <c r="R57" s="718"/>
      <c r="S57" s="719"/>
      <c r="T57" s="719"/>
      <c r="U57" s="718"/>
      <c r="V57" s="720"/>
      <c r="W57" s="191"/>
    </row>
    <row r="58" spans="1:23" ht="13.5" thickBot="1">
      <c r="A58" s="197"/>
      <c r="B58" s="233"/>
      <c r="C58" s="161" t="s">
        <v>139</v>
      </c>
      <c r="D58" s="148"/>
      <c r="E58" s="148"/>
      <c r="F58" s="156"/>
      <c r="G58" s="113"/>
      <c r="H58" s="179"/>
      <c r="I58" s="179"/>
      <c r="J58" s="177"/>
      <c r="K58" s="238"/>
      <c r="L58" s="84"/>
      <c r="M58" s="197"/>
      <c r="N58" s="113"/>
      <c r="O58" s="113"/>
      <c r="P58" s="113"/>
      <c r="Q58" s="197"/>
      <c r="R58" s="113"/>
      <c r="S58" s="113"/>
      <c r="T58" s="113"/>
      <c r="U58" s="113"/>
      <c r="V58" s="722"/>
      <c r="W58" s="721"/>
    </row>
    <row r="59" spans="1:23" ht="16.5" thickBot="1">
      <c r="A59" s="260"/>
      <c r="B59" s="261"/>
      <c r="C59" s="262" t="s">
        <v>139</v>
      </c>
      <c r="D59" s="263"/>
      <c r="E59" s="264" t="s">
        <v>161</v>
      </c>
      <c r="F59" s="265" t="s">
        <v>426</v>
      </c>
      <c r="G59" s="266"/>
      <c r="H59" s="266"/>
      <c r="I59" s="266"/>
      <c r="J59" s="267">
        <f>J56/(1-H57)</f>
        <v>722.06</v>
      </c>
      <c r="K59" s="268">
        <f>J59/V59</f>
        <v>0.4378</v>
      </c>
      <c r="L59" s="84"/>
      <c r="M59" s="260"/>
      <c r="N59" s="269"/>
      <c r="O59" s="269"/>
      <c r="P59" s="269"/>
      <c r="Q59" s="305" t="s">
        <v>168</v>
      </c>
      <c r="R59" s="306" t="s">
        <v>423</v>
      </c>
      <c r="S59" s="307"/>
      <c r="T59" s="307"/>
      <c r="U59" s="306"/>
      <c r="V59" s="723">
        <f>SUM(V55:V58)</f>
        <v>1649.22</v>
      </c>
      <c r="W59" s="328">
        <f>SUM(W55:W58)</f>
        <v>1</v>
      </c>
    </row>
    <row r="61" ht="15.75">
      <c r="A61" s="69" t="s">
        <v>169</v>
      </c>
    </row>
    <row r="63" spans="1:19" ht="15.75">
      <c r="A63" s="69" t="str">
        <f>'Trator de Esteira'!A61</f>
        <v>Patos de Minas-MG, 16 de Novembro de 2015.</v>
      </c>
      <c r="G63" s="13"/>
      <c r="M63" s="11"/>
      <c r="S63" s="13"/>
    </row>
    <row r="64" spans="1:12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</sheetData>
  <sheetProtection password="F184" sheet="1"/>
  <mergeCells count="7">
    <mergeCell ref="F44:G44"/>
    <mergeCell ref="A1:K1"/>
    <mergeCell ref="M1:W1"/>
    <mergeCell ref="A5:J5"/>
    <mergeCell ref="B11:C11"/>
    <mergeCell ref="R11:S11"/>
    <mergeCell ref="R36:S36"/>
  </mergeCells>
  <printOptions horizontalCentered="1" verticalCentered="1"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31">
      <selection activeCell="D60" sqref="D60"/>
    </sheetView>
  </sheetViews>
  <sheetFormatPr defaultColWidth="9.00390625" defaultRowHeight="12.75"/>
  <cols>
    <col min="1" max="16384" width="9.00390625" style="654" customWidth="1"/>
  </cols>
  <sheetData>
    <row r="1" spans="1:9" ht="12.75">
      <c r="A1" s="650" t="s">
        <v>343</v>
      </c>
      <c r="B1" s="651"/>
      <c r="C1" s="651"/>
      <c r="D1" s="652"/>
      <c r="E1" s="652"/>
      <c r="F1" s="652"/>
      <c r="G1" s="652"/>
      <c r="H1" s="652"/>
      <c r="I1" s="653"/>
    </row>
    <row r="2" spans="1:9" ht="11.25">
      <c r="A2" s="655"/>
      <c r="B2" s="656" t="s">
        <v>344</v>
      </c>
      <c r="C2" s="657"/>
      <c r="D2" s="657"/>
      <c r="E2" s="657"/>
      <c r="F2" s="657"/>
      <c r="G2" s="657"/>
      <c r="H2" s="657"/>
      <c r="I2" s="658"/>
    </row>
    <row r="3" spans="1:9" ht="11.25">
      <c r="A3" s="659" t="s">
        <v>69</v>
      </c>
      <c r="B3" s="660"/>
      <c r="C3" s="661"/>
      <c r="D3" s="662"/>
      <c r="E3" s="663" t="s">
        <v>128</v>
      </c>
      <c r="F3" s="661"/>
      <c r="G3" s="661"/>
      <c r="H3" s="661"/>
      <c r="I3" s="664" t="s">
        <v>345</v>
      </c>
    </row>
    <row r="4" spans="1:9" ht="11.25">
      <c r="A4" s="665"/>
      <c r="B4" s="665"/>
      <c r="C4" s="665"/>
      <c r="D4" s="665"/>
      <c r="E4" s="665"/>
      <c r="F4" s="665"/>
      <c r="G4" s="665"/>
      <c r="H4" s="665"/>
      <c r="I4" s="665"/>
    </row>
    <row r="5" spans="1:9" ht="11.25">
      <c r="A5" s="666"/>
      <c r="B5" s="667" t="s">
        <v>346</v>
      </c>
      <c r="C5" s="668"/>
      <c r="D5" s="668"/>
      <c r="E5" s="668"/>
      <c r="F5" s="668"/>
      <c r="G5" s="668"/>
      <c r="H5" s="668"/>
      <c r="I5" s="669"/>
    </row>
    <row r="6" spans="1:9" ht="11.25">
      <c r="A6" s="670" t="s">
        <v>347</v>
      </c>
      <c r="B6" s="671" t="s">
        <v>348</v>
      </c>
      <c r="C6" s="672"/>
      <c r="D6" s="672"/>
      <c r="E6" s="672"/>
      <c r="F6" s="672"/>
      <c r="G6" s="672"/>
      <c r="H6" s="672"/>
      <c r="I6" s="673"/>
    </row>
    <row r="7" spans="1:9" ht="11.25">
      <c r="A7" s="670" t="s">
        <v>349</v>
      </c>
      <c r="B7" s="674" t="s">
        <v>350</v>
      </c>
      <c r="C7" s="675"/>
      <c r="D7" s="672"/>
      <c r="E7" s="672"/>
      <c r="F7" s="672"/>
      <c r="G7" s="672"/>
      <c r="H7" s="672"/>
      <c r="I7" s="673"/>
    </row>
    <row r="8" spans="1:9" ht="11.25">
      <c r="A8" s="670" t="s">
        <v>351</v>
      </c>
      <c r="B8" s="674" t="s">
        <v>352</v>
      </c>
      <c r="C8" s="675"/>
      <c r="D8" s="672"/>
      <c r="E8" s="672"/>
      <c r="F8" s="672"/>
      <c r="G8" s="672"/>
      <c r="H8" s="672"/>
      <c r="I8" s="673"/>
    </row>
    <row r="9" spans="1:9" ht="11.25">
      <c r="A9" s="670" t="s">
        <v>353</v>
      </c>
      <c r="B9" s="674" t="s">
        <v>354</v>
      </c>
      <c r="C9" s="675"/>
      <c r="D9" s="672"/>
      <c r="E9" s="672"/>
      <c r="F9" s="672"/>
      <c r="G9" s="672"/>
      <c r="H9" s="672"/>
      <c r="I9" s="673"/>
    </row>
    <row r="10" spans="1:9" ht="11.25">
      <c r="A10" s="670" t="s">
        <v>355</v>
      </c>
      <c r="B10" s="674" t="s">
        <v>356</v>
      </c>
      <c r="C10" s="675"/>
      <c r="D10" s="672"/>
      <c r="E10" s="672"/>
      <c r="F10" s="672"/>
      <c r="G10" s="672"/>
      <c r="H10" s="672"/>
      <c r="I10" s="673"/>
    </row>
    <row r="11" spans="1:9" ht="11.25">
      <c r="A11" s="670" t="s">
        <v>357</v>
      </c>
      <c r="B11" s="674" t="s">
        <v>358</v>
      </c>
      <c r="C11" s="675"/>
      <c r="D11" s="672"/>
      <c r="E11" s="672"/>
      <c r="F11" s="672"/>
      <c r="G11" s="672"/>
      <c r="H11" s="672"/>
      <c r="I11" s="673"/>
    </row>
    <row r="12" spans="1:9" ht="11.25">
      <c r="A12" s="670" t="s">
        <v>359</v>
      </c>
      <c r="B12" s="674" t="s">
        <v>360</v>
      </c>
      <c r="C12" s="675"/>
      <c r="D12" s="672"/>
      <c r="E12" s="672"/>
      <c r="F12" s="672"/>
      <c r="G12" s="672"/>
      <c r="H12" s="672"/>
      <c r="I12" s="673"/>
    </row>
    <row r="13" spans="1:9" ht="11.25">
      <c r="A13" s="670" t="s">
        <v>361</v>
      </c>
      <c r="B13" s="674" t="s">
        <v>362</v>
      </c>
      <c r="C13" s="675"/>
      <c r="D13" s="672"/>
      <c r="E13" s="672"/>
      <c r="F13" s="672"/>
      <c r="G13" s="672"/>
      <c r="H13" s="672"/>
      <c r="I13" s="673"/>
    </row>
    <row r="14" spans="1:9" ht="11.25">
      <c r="A14" s="670" t="s">
        <v>363</v>
      </c>
      <c r="B14" s="676" t="s">
        <v>364</v>
      </c>
      <c r="C14" s="675"/>
      <c r="D14" s="672"/>
      <c r="E14" s="672"/>
      <c r="F14" s="672"/>
      <c r="G14" s="672"/>
      <c r="H14" s="672"/>
      <c r="I14" s="677"/>
    </row>
    <row r="15" spans="1:9" ht="11.25">
      <c r="A15" s="678"/>
      <c r="B15" s="666" t="s">
        <v>365</v>
      </c>
      <c r="C15" s="668"/>
      <c r="D15" s="668"/>
      <c r="E15" s="668"/>
      <c r="F15" s="668"/>
      <c r="G15" s="668"/>
      <c r="H15" s="668"/>
      <c r="I15" s="679">
        <f>SUM(I6:I14)</f>
        <v>0</v>
      </c>
    </row>
    <row r="16" spans="1:9" ht="11.25">
      <c r="A16" s="665"/>
      <c r="B16" s="665"/>
      <c r="C16" s="680"/>
      <c r="D16" s="680"/>
      <c r="E16" s="665"/>
      <c r="F16" s="665"/>
      <c r="G16" s="681"/>
      <c r="H16" s="681"/>
      <c r="I16" s="682"/>
    </row>
    <row r="17" spans="1:9" ht="11.25">
      <c r="A17" s="683"/>
      <c r="B17" s="684" t="s">
        <v>366</v>
      </c>
      <c r="C17" s="685"/>
      <c r="D17" s="685"/>
      <c r="E17" s="685"/>
      <c r="F17" s="685"/>
      <c r="G17" s="685"/>
      <c r="H17" s="685"/>
      <c r="I17" s="686"/>
    </row>
    <row r="18" spans="1:9" ht="11.25">
      <c r="A18" s="687" t="s">
        <v>367</v>
      </c>
      <c r="B18" s="674" t="s">
        <v>368</v>
      </c>
      <c r="C18" s="675"/>
      <c r="D18" s="672"/>
      <c r="E18" s="672"/>
      <c r="F18" s="672"/>
      <c r="G18" s="672"/>
      <c r="H18" s="672"/>
      <c r="I18" s="677"/>
    </row>
    <row r="19" spans="1:9" ht="11.25">
      <c r="A19" s="687" t="s">
        <v>369</v>
      </c>
      <c r="B19" s="688" t="s">
        <v>370</v>
      </c>
      <c r="C19" s="675"/>
      <c r="D19" s="672"/>
      <c r="E19" s="672"/>
      <c r="F19" s="672"/>
      <c r="G19" s="672"/>
      <c r="H19" s="672"/>
      <c r="I19" s="677"/>
    </row>
    <row r="20" spans="1:9" ht="11.25">
      <c r="A20" s="687" t="s">
        <v>371</v>
      </c>
      <c r="B20" s="674" t="s">
        <v>372</v>
      </c>
      <c r="C20" s="675"/>
      <c r="D20" s="672"/>
      <c r="E20" s="672"/>
      <c r="F20" s="672"/>
      <c r="G20" s="672"/>
      <c r="H20" s="672"/>
      <c r="I20" s="677"/>
    </row>
    <row r="21" spans="1:9" ht="11.25">
      <c r="A21" s="687" t="s">
        <v>373</v>
      </c>
      <c r="B21" s="674" t="s">
        <v>374</v>
      </c>
      <c r="C21" s="675"/>
      <c r="D21" s="672"/>
      <c r="E21" s="672"/>
      <c r="F21" s="672"/>
      <c r="G21" s="672"/>
      <c r="H21" s="672"/>
      <c r="I21" s="677"/>
    </row>
    <row r="22" spans="1:9" ht="11.25">
      <c r="A22" s="687" t="s">
        <v>375</v>
      </c>
      <c r="B22" s="676" t="s">
        <v>376</v>
      </c>
      <c r="C22" s="675"/>
      <c r="D22" s="672"/>
      <c r="E22" s="672"/>
      <c r="F22" s="672"/>
      <c r="G22" s="672"/>
      <c r="H22" s="672"/>
      <c r="I22" s="677"/>
    </row>
    <row r="23" spans="1:9" ht="11.25">
      <c r="A23" s="687" t="s">
        <v>377</v>
      </c>
      <c r="B23" s="676" t="s">
        <v>378</v>
      </c>
      <c r="C23" s="675"/>
      <c r="D23" s="672"/>
      <c r="E23" s="672"/>
      <c r="F23" s="672"/>
      <c r="G23" s="672"/>
      <c r="H23" s="672"/>
      <c r="I23" s="677"/>
    </row>
    <row r="24" spans="1:9" ht="11.25">
      <c r="A24" s="687" t="s">
        <v>379</v>
      </c>
      <c r="B24" s="689" t="s">
        <v>380</v>
      </c>
      <c r="C24" s="675"/>
      <c r="D24" s="672"/>
      <c r="E24" s="672"/>
      <c r="F24" s="672"/>
      <c r="G24" s="672"/>
      <c r="H24" s="672"/>
      <c r="I24" s="677"/>
    </row>
    <row r="25" spans="1:9" ht="11.25">
      <c r="A25" s="678"/>
      <c r="B25" s="666" t="s">
        <v>381</v>
      </c>
      <c r="C25" s="668"/>
      <c r="D25" s="668"/>
      <c r="E25" s="668"/>
      <c r="F25" s="668"/>
      <c r="G25" s="668"/>
      <c r="H25" s="668"/>
      <c r="I25" s="679">
        <f>SUM(I18:I24)</f>
        <v>0</v>
      </c>
    </row>
    <row r="26" spans="1:9" ht="11.25">
      <c r="A26" s="675"/>
      <c r="B26" s="690"/>
      <c r="C26" s="691"/>
      <c r="D26" s="691"/>
      <c r="E26" s="690"/>
      <c r="F26" s="690"/>
      <c r="G26" s="692"/>
      <c r="H26" s="692"/>
      <c r="I26" s="692"/>
    </row>
    <row r="27" spans="1:9" ht="11.25">
      <c r="A27" s="678"/>
      <c r="B27" s="693" t="s">
        <v>382</v>
      </c>
      <c r="C27" s="668"/>
      <c r="D27" s="668"/>
      <c r="E27" s="668"/>
      <c r="F27" s="668"/>
      <c r="G27" s="668"/>
      <c r="H27" s="668"/>
      <c r="I27" s="669"/>
    </row>
    <row r="28" spans="1:9" ht="11.25">
      <c r="A28" s="670" t="s">
        <v>383</v>
      </c>
      <c r="B28" s="694" t="s">
        <v>384</v>
      </c>
      <c r="C28" s="672"/>
      <c r="D28" s="672"/>
      <c r="E28" s="672"/>
      <c r="F28" s="672"/>
      <c r="G28" s="672"/>
      <c r="H28" s="672"/>
      <c r="I28" s="673"/>
    </row>
    <row r="29" spans="1:9" ht="11.25">
      <c r="A29" s="670" t="s">
        <v>385</v>
      </c>
      <c r="B29" s="676" t="s">
        <v>386</v>
      </c>
      <c r="C29" s="675"/>
      <c r="D29" s="672"/>
      <c r="E29" s="672"/>
      <c r="F29" s="672"/>
      <c r="G29" s="672"/>
      <c r="H29" s="672"/>
      <c r="I29" s="677"/>
    </row>
    <row r="30" spans="1:9" ht="11.25">
      <c r="A30" s="670" t="s">
        <v>387</v>
      </c>
      <c r="B30" s="676" t="s">
        <v>388</v>
      </c>
      <c r="C30" s="675"/>
      <c r="D30" s="672"/>
      <c r="E30" s="672"/>
      <c r="F30" s="672"/>
      <c r="G30" s="672"/>
      <c r="H30" s="672"/>
      <c r="I30" s="677"/>
    </row>
    <row r="31" spans="1:9" ht="11.25">
      <c r="A31" s="670" t="s">
        <v>389</v>
      </c>
      <c r="B31" s="676" t="s">
        <v>390</v>
      </c>
      <c r="C31" s="675"/>
      <c r="D31" s="672"/>
      <c r="E31" s="672"/>
      <c r="F31" s="672"/>
      <c r="G31" s="672"/>
      <c r="H31" s="672"/>
      <c r="I31" s="677"/>
    </row>
    <row r="32" spans="1:9" ht="11.25">
      <c r="A32" s="676"/>
      <c r="B32" s="689"/>
      <c r="C32" s="675"/>
      <c r="D32" s="672"/>
      <c r="E32" s="672"/>
      <c r="F32" s="672"/>
      <c r="G32" s="672"/>
      <c r="H32" s="672"/>
      <c r="I32" s="677"/>
    </row>
    <row r="33" spans="1:9" ht="11.25">
      <c r="A33" s="678"/>
      <c r="B33" s="666" t="s">
        <v>391</v>
      </c>
      <c r="C33" s="668"/>
      <c r="D33" s="668"/>
      <c r="E33" s="668"/>
      <c r="F33" s="668"/>
      <c r="G33" s="668"/>
      <c r="H33" s="668"/>
      <c r="I33" s="679">
        <f>SUM(I28:I32)</f>
        <v>0</v>
      </c>
    </row>
    <row r="34" spans="1:9" ht="11.25">
      <c r="A34" s="678"/>
      <c r="B34" s="667" t="s">
        <v>392</v>
      </c>
      <c r="C34" s="668"/>
      <c r="D34" s="668"/>
      <c r="E34" s="668"/>
      <c r="F34" s="668"/>
      <c r="G34" s="668"/>
      <c r="H34" s="668"/>
      <c r="I34" s="669"/>
    </row>
    <row r="35" spans="1:9" ht="11.25">
      <c r="A35" s="670" t="s">
        <v>393</v>
      </c>
      <c r="B35" s="694" t="s">
        <v>394</v>
      </c>
      <c r="C35" s="672"/>
      <c r="D35" s="672"/>
      <c r="E35" s="672"/>
      <c r="F35" s="672"/>
      <c r="G35" s="672"/>
      <c r="H35" s="672"/>
      <c r="I35" s="677"/>
    </row>
    <row r="36" spans="1:9" ht="11.25">
      <c r="A36" s="676"/>
      <c r="B36" s="676"/>
      <c r="C36" s="675"/>
      <c r="D36" s="672"/>
      <c r="E36" s="672"/>
      <c r="F36" s="672"/>
      <c r="G36" s="672"/>
      <c r="H36" s="672"/>
      <c r="I36" s="677"/>
    </row>
    <row r="37" spans="1:9" ht="11.25">
      <c r="A37" s="676"/>
      <c r="B37" s="676"/>
      <c r="C37" s="675"/>
      <c r="D37" s="672"/>
      <c r="E37" s="672"/>
      <c r="F37" s="672"/>
      <c r="G37" s="672"/>
      <c r="H37" s="672"/>
      <c r="I37" s="677"/>
    </row>
    <row r="38" spans="1:9" ht="11.25">
      <c r="A38" s="676"/>
      <c r="B38" s="689"/>
      <c r="C38" s="675"/>
      <c r="D38" s="672"/>
      <c r="E38" s="672"/>
      <c r="F38" s="672"/>
      <c r="G38" s="672"/>
      <c r="H38" s="672"/>
      <c r="I38" s="677"/>
    </row>
    <row r="39" spans="1:9" ht="11.25">
      <c r="A39" s="678"/>
      <c r="B39" s="666" t="s">
        <v>395</v>
      </c>
      <c r="C39" s="668"/>
      <c r="D39" s="668"/>
      <c r="E39" s="668"/>
      <c r="F39" s="668"/>
      <c r="G39" s="668"/>
      <c r="H39" s="668"/>
      <c r="I39" s="679">
        <f>SUM(I35:I38)</f>
        <v>0</v>
      </c>
    </row>
    <row r="40" spans="1:9" ht="11.25">
      <c r="A40" s="678"/>
      <c r="B40" s="840" t="s">
        <v>396</v>
      </c>
      <c r="C40" s="840"/>
      <c r="D40" s="840"/>
      <c r="E40" s="840"/>
      <c r="F40" s="840"/>
      <c r="G40" s="840"/>
      <c r="H40" s="840"/>
      <c r="I40" s="669"/>
    </row>
    <row r="41" spans="1:9" ht="11.25">
      <c r="A41" s="670" t="s">
        <v>397</v>
      </c>
      <c r="B41" s="695" t="s">
        <v>398</v>
      </c>
      <c r="C41" s="672"/>
      <c r="D41" s="672"/>
      <c r="E41" s="672"/>
      <c r="F41" s="672"/>
      <c r="G41" s="672"/>
      <c r="H41" s="672"/>
      <c r="I41" s="677">
        <f>I15*I25</f>
        <v>0</v>
      </c>
    </row>
    <row r="42" spans="1:9" ht="11.25">
      <c r="A42" s="676"/>
      <c r="B42" s="676"/>
      <c r="C42" s="675"/>
      <c r="D42" s="672"/>
      <c r="E42" s="672"/>
      <c r="F42" s="672"/>
      <c r="G42" s="672"/>
      <c r="H42" s="672"/>
      <c r="I42" s="677"/>
    </row>
    <row r="43" spans="1:11" ht="11.25">
      <c r="A43" s="678"/>
      <c r="B43" s="666" t="s">
        <v>399</v>
      </c>
      <c r="C43" s="668"/>
      <c r="D43" s="668"/>
      <c r="E43" s="668"/>
      <c r="F43" s="668"/>
      <c r="G43" s="668"/>
      <c r="H43" s="668"/>
      <c r="I43" s="679">
        <f>SUM(I41:I42)</f>
        <v>0</v>
      </c>
      <c r="K43" s="696"/>
    </row>
    <row r="44" spans="1:9" ht="11.25">
      <c r="A44" s="690"/>
      <c r="B44" s="690"/>
      <c r="C44" s="691"/>
      <c r="D44" s="691"/>
      <c r="E44" s="690"/>
      <c r="F44" s="690"/>
      <c r="G44" s="692"/>
      <c r="H44" s="692"/>
      <c r="I44" s="692"/>
    </row>
    <row r="45" spans="1:9" ht="11.25">
      <c r="A45" s="697"/>
      <c r="B45" s="698"/>
      <c r="C45" s="698"/>
      <c r="D45" s="698"/>
      <c r="E45" s="698"/>
      <c r="F45" s="698"/>
      <c r="G45" s="698"/>
      <c r="H45" s="698"/>
      <c r="I45" s="699"/>
    </row>
    <row r="46" spans="1:9" ht="11.25">
      <c r="A46" s="655"/>
      <c r="B46" s="656" t="s">
        <v>400</v>
      </c>
      <c r="C46" s="657"/>
      <c r="D46" s="657"/>
      <c r="E46" s="657"/>
      <c r="F46" s="657"/>
      <c r="G46" s="657"/>
      <c r="H46" s="657"/>
      <c r="I46" s="700">
        <v>0.8226</v>
      </c>
    </row>
    <row r="47" spans="1:9" ht="11.25">
      <c r="A47" s="689"/>
      <c r="B47" s="690"/>
      <c r="C47" s="690"/>
      <c r="D47" s="701"/>
      <c r="E47" s="701"/>
      <c r="F47" s="701"/>
      <c r="G47" s="701"/>
      <c r="H47" s="701"/>
      <c r="I47" s="702"/>
    </row>
    <row r="50" ht="10.5">
      <c r="A50" s="654" t="str">
        <f>'Trator de Esteira'!A61</f>
        <v>Patos de Minas-MG, 16 de Novembro de 2015.</v>
      </c>
    </row>
  </sheetData>
  <sheetProtection/>
  <mergeCells count="1">
    <mergeCell ref="B40:H4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2">
      <selection activeCell="C32" sqref="C32"/>
    </sheetView>
  </sheetViews>
  <sheetFormatPr defaultColWidth="11.00390625" defaultRowHeight="12.75"/>
  <cols>
    <col min="1" max="1" width="69.875" style="1" customWidth="1"/>
    <col min="2" max="2" width="9.625" style="1" customWidth="1"/>
    <col min="3" max="5" width="15.375" style="1" customWidth="1"/>
    <col min="6" max="6" width="9.625" style="1" customWidth="1"/>
    <col min="7" max="7" width="25.75390625" style="1" customWidth="1"/>
    <col min="8" max="8" width="11.00390625" style="1" customWidth="1"/>
    <col min="9" max="10" width="18.125" style="1" bestFit="1" customWidth="1"/>
    <col min="11" max="11" width="20.375" style="1" customWidth="1"/>
    <col min="12" max="16384" width="11.00390625" style="1" customWidth="1"/>
  </cols>
  <sheetData>
    <row r="1" spans="1:7" ht="22.5" customHeight="1">
      <c r="A1" s="871" t="s">
        <v>0</v>
      </c>
      <c r="B1" s="872"/>
      <c r="C1" s="872"/>
      <c r="D1" s="872"/>
      <c r="E1" s="872"/>
      <c r="F1" s="872"/>
      <c r="G1" s="873"/>
    </row>
    <row r="2" spans="1:7" ht="12.75">
      <c r="A2" s="14"/>
      <c r="B2" s="30"/>
      <c r="C2" s="782"/>
      <c r="D2" s="15"/>
      <c r="E2" s="30"/>
      <c r="F2" s="30"/>
      <c r="G2" s="15"/>
    </row>
    <row r="3" spans="1:7" ht="12.75">
      <c r="A3" s="16" t="s">
        <v>1</v>
      </c>
      <c r="B3" s="12" t="s">
        <v>10</v>
      </c>
      <c r="C3" s="128" t="s">
        <v>4</v>
      </c>
      <c r="D3" s="12" t="s">
        <v>261</v>
      </c>
      <c r="E3" s="31" t="s">
        <v>5</v>
      </c>
      <c r="F3" s="31" t="s">
        <v>47</v>
      </c>
      <c r="G3" s="12" t="s">
        <v>6</v>
      </c>
    </row>
    <row r="4" spans="1:7" ht="12.75">
      <c r="A4" s="26"/>
      <c r="B4" s="32"/>
      <c r="C4" s="194"/>
      <c r="D4" s="150"/>
      <c r="E4" s="32"/>
      <c r="F4" s="32"/>
      <c r="G4" s="25"/>
    </row>
    <row r="5" spans="1:7" ht="15.75">
      <c r="A5" s="844" t="s">
        <v>12</v>
      </c>
      <c r="B5" s="845"/>
      <c r="C5" s="853"/>
      <c r="D5" s="853"/>
      <c r="E5" s="853"/>
      <c r="F5" s="853"/>
      <c r="G5" s="856"/>
    </row>
    <row r="6" spans="1:7" ht="12.75">
      <c r="A6" s="27" t="s">
        <v>45</v>
      </c>
      <c r="B6" s="50"/>
      <c r="C6" s="45"/>
      <c r="D6" s="45"/>
      <c r="E6" s="20"/>
      <c r="F6" s="20"/>
      <c r="G6" s="19"/>
    </row>
    <row r="7" spans="1:7" ht="12.75">
      <c r="A7" s="28" t="s">
        <v>3</v>
      </c>
      <c r="B7" s="20">
        <v>1</v>
      </c>
      <c r="C7" s="65">
        <f>'Caminhão Basculante Varrição'!V60</f>
        <v>10184.46</v>
      </c>
      <c r="D7" s="65">
        <f>'Insumos Varrição'!J51</f>
        <v>45654.77</v>
      </c>
      <c r="E7" s="66">
        <f>Varrição!J57</f>
        <v>372688.62</v>
      </c>
      <c r="F7" s="79">
        <v>60</v>
      </c>
      <c r="G7" s="66">
        <f>(C7+E7+D7)*F7</f>
        <v>25711671</v>
      </c>
    </row>
    <row r="8" spans="1:7" ht="12.75">
      <c r="A8" s="28" t="s">
        <v>37</v>
      </c>
      <c r="B8" s="20"/>
      <c r="C8" s="36"/>
      <c r="D8" s="36"/>
      <c r="E8" s="19"/>
      <c r="F8" s="19"/>
      <c r="G8" s="19"/>
    </row>
    <row r="9" spans="1:7" ht="12.75">
      <c r="A9" s="28" t="s">
        <v>8</v>
      </c>
      <c r="B9" s="51"/>
      <c r="C9" s="45"/>
      <c r="D9" s="45"/>
      <c r="E9" s="20"/>
      <c r="F9" s="20"/>
      <c r="G9" s="19"/>
    </row>
    <row r="10" spans="1:7" ht="18.75">
      <c r="A10" s="867" t="s">
        <v>33</v>
      </c>
      <c r="B10" s="868"/>
      <c r="C10" s="868"/>
      <c r="D10" s="868"/>
      <c r="E10" s="868"/>
      <c r="F10" s="869"/>
      <c r="G10" s="42">
        <f>SUM(G6:G9)</f>
        <v>25711671</v>
      </c>
    </row>
    <row r="11" spans="1:7" ht="15.75">
      <c r="A11" s="857" t="s">
        <v>13</v>
      </c>
      <c r="B11" s="858"/>
      <c r="C11" s="858"/>
      <c r="D11" s="858"/>
      <c r="E11" s="858"/>
      <c r="F11" s="858"/>
      <c r="G11" s="856"/>
    </row>
    <row r="12" spans="1:7" ht="15.75">
      <c r="A12" s="39" t="s">
        <v>1</v>
      </c>
      <c r="B12" s="39" t="s">
        <v>497</v>
      </c>
      <c r="C12" s="39" t="s">
        <v>502</v>
      </c>
      <c r="D12" s="39" t="s">
        <v>261</v>
      </c>
      <c r="E12" s="39" t="s">
        <v>5</v>
      </c>
      <c r="F12" s="31" t="s">
        <v>47</v>
      </c>
      <c r="G12" s="73" t="s">
        <v>21</v>
      </c>
    </row>
    <row r="13" spans="1:8" ht="12.75">
      <c r="A13" s="27" t="s">
        <v>498</v>
      </c>
      <c r="B13" s="72"/>
      <c r="C13" s="74"/>
      <c r="D13" s="74"/>
      <c r="E13" s="74"/>
      <c r="F13" s="74"/>
      <c r="G13" s="800"/>
      <c r="H13" s="75"/>
    </row>
    <row r="14" spans="1:11" ht="12.75">
      <c r="A14" s="28" t="s">
        <v>26</v>
      </c>
      <c r="B14" s="22">
        <v>4</v>
      </c>
      <c r="C14" s="68">
        <f>'Ônibus Equipe Capina'!V63*1</f>
        <v>6376.3</v>
      </c>
      <c r="D14" s="68">
        <f>'Insumos - Equipe Capina'!J45</f>
        <v>1192.74</v>
      </c>
      <c r="E14" s="68">
        <f>'Equipe Capina'!J55</f>
        <v>40226.75</v>
      </c>
      <c r="F14" s="80">
        <v>60</v>
      </c>
      <c r="G14" s="66"/>
      <c r="I14" s="64"/>
      <c r="K14" s="64"/>
    </row>
    <row r="15" spans="1:11" ht="15.75">
      <c r="A15" s="28" t="s">
        <v>501</v>
      </c>
      <c r="B15" s="22"/>
      <c r="C15" s="786" t="s">
        <v>503</v>
      </c>
      <c r="D15" s="786" t="s">
        <v>504</v>
      </c>
      <c r="E15" s="786" t="s">
        <v>504</v>
      </c>
      <c r="F15" s="787"/>
      <c r="G15" s="57"/>
      <c r="K15" s="64"/>
    </row>
    <row r="16" spans="1:7" ht="12.75">
      <c r="A16" s="847" t="s">
        <v>27</v>
      </c>
      <c r="B16" s="848"/>
      <c r="C16" s="848"/>
      <c r="D16" s="848"/>
      <c r="E16" s="848"/>
      <c r="F16" s="870"/>
      <c r="G16" s="785"/>
    </row>
    <row r="17" spans="1:7" ht="15.75">
      <c r="A17" s="52" t="s">
        <v>1</v>
      </c>
      <c r="B17" s="788" t="s">
        <v>10</v>
      </c>
      <c r="C17" s="52" t="s">
        <v>502</v>
      </c>
      <c r="D17" s="52" t="s">
        <v>261</v>
      </c>
      <c r="E17" s="52" t="s">
        <v>5</v>
      </c>
      <c r="F17" s="52" t="s">
        <v>47</v>
      </c>
      <c r="G17" s="58"/>
    </row>
    <row r="18" spans="1:11" ht="19.5" customHeight="1">
      <c r="A18" s="783" t="s">
        <v>46</v>
      </c>
      <c r="B18" s="55">
        <f>'Equipe Capina'!E58*4</f>
        <v>768000</v>
      </c>
      <c r="C18" s="784">
        <f>C14/192000</f>
        <v>0.033</v>
      </c>
      <c r="D18" s="784">
        <f>(D14*4)/768000</f>
        <v>0.006</v>
      </c>
      <c r="E18" s="799">
        <f>(E14*4)/768000</f>
        <v>0.21</v>
      </c>
      <c r="F18" s="81">
        <v>60</v>
      </c>
      <c r="G18" s="795">
        <f>(B18*D18*F18)+(B18*E18*F18)+(192000*C18*F18)</f>
        <v>10333440</v>
      </c>
      <c r="I18" s="178"/>
      <c r="K18" s="64"/>
    </row>
    <row r="19" spans="1:11" ht="19.5" customHeight="1">
      <c r="A19" s="790"/>
      <c r="B19" s="78"/>
      <c r="C19" s="786" t="s">
        <v>507</v>
      </c>
      <c r="D19" s="786" t="s">
        <v>508</v>
      </c>
      <c r="E19" s="786" t="s">
        <v>508</v>
      </c>
      <c r="F19" s="80"/>
      <c r="G19" s="41"/>
      <c r="I19" s="178"/>
      <c r="K19" s="64"/>
    </row>
    <row r="20" spans="1:7" ht="18.75">
      <c r="A20" s="867" t="s">
        <v>32</v>
      </c>
      <c r="B20" s="868"/>
      <c r="C20" s="868"/>
      <c r="D20" s="868"/>
      <c r="E20" s="868"/>
      <c r="F20" s="869"/>
      <c r="G20" s="42">
        <f>G18</f>
        <v>10333440</v>
      </c>
    </row>
    <row r="21" spans="1:9" ht="15.75">
      <c r="A21" s="857" t="s">
        <v>14</v>
      </c>
      <c r="B21" s="858"/>
      <c r="C21" s="858"/>
      <c r="D21" s="858"/>
      <c r="E21" s="858"/>
      <c r="F21" s="858"/>
      <c r="G21" s="856"/>
      <c r="I21" s="64"/>
    </row>
    <row r="22" spans="1:7" ht="15.75">
      <c r="A22" s="16" t="s">
        <v>1</v>
      </c>
      <c r="B22" s="39" t="s">
        <v>10</v>
      </c>
      <c r="C22" s="31" t="s">
        <v>4</v>
      </c>
      <c r="D22" s="39" t="s">
        <v>261</v>
      </c>
      <c r="E22" s="31" t="s">
        <v>5</v>
      </c>
      <c r="F22" s="31" t="s">
        <v>47</v>
      </c>
      <c r="G22" s="33" t="s">
        <v>21</v>
      </c>
    </row>
    <row r="23" spans="1:7" ht="12.75">
      <c r="A23" s="17" t="s">
        <v>38</v>
      </c>
      <c r="B23" s="59"/>
      <c r="C23" s="17"/>
      <c r="D23" s="38"/>
      <c r="E23" s="38"/>
      <c r="F23" s="38"/>
      <c r="G23" s="35"/>
    </row>
    <row r="24" spans="1:7" ht="12.75">
      <c r="A24" s="20" t="s">
        <v>28</v>
      </c>
      <c r="B24" s="60">
        <v>1</v>
      </c>
      <c r="C24" s="758">
        <f>'Caminhão Equipe Multi-Uso'!V59</f>
        <v>5815</v>
      </c>
      <c r="D24" s="780">
        <f>'Insumos - Equipe Multi Uso'!J47</f>
        <v>2359.93</v>
      </c>
      <c r="E24" s="67">
        <f>'Equipe Multi Uso'!J52</f>
        <v>33517.14</v>
      </c>
      <c r="F24" s="79">
        <v>60</v>
      </c>
      <c r="G24" s="65">
        <f>(C24+E24)*F24</f>
        <v>2359928.4</v>
      </c>
    </row>
    <row r="25" spans="1:7" ht="12.75">
      <c r="A25" s="20" t="s">
        <v>11</v>
      </c>
      <c r="B25" s="60"/>
      <c r="C25" s="56"/>
      <c r="D25" s="781"/>
      <c r="E25" s="61"/>
      <c r="F25" s="61"/>
      <c r="G25" s="36"/>
    </row>
    <row r="26" spans="1:7" ht="12.75">
      <c r="A26" s="791" t="s">
        <v>39</v>
      </c>
      <c r="B26" s="792"/>
      <c r="C26" s="20"/>
      <c r="D26" s="45"/>
      <c r="E26" s="45"/>
      <c r="F26" s="45"/>
      <c r="G26" s="37"/>
    </row>
    <row r="27" spans="1:7" ht="18.75">
      <c r="A27" s="867" t="s">
        <v>34</v>
      </c>
      <c r="B27" s="868"/>
      <c r="C27" s="868"/>
      <c r="D27" s="868"/>
      <c r="E27" s="868"/>
      <c r="F27" s="869"/>
      <c r="G27" s="42">
        <f>SUM(G23:G26)</f>
        <v>2359928.4</v>
      </c>
    </row>
    <row r="28" spans="1:7" ht="22.5">
      <c r="A28" s="859" t="s">
        <v>15</v>
      </c>
      <c r="B28" s="860"/>
      <c r="C28" s="860"/>
      <c r="D28" s="860"/>
      <c r="E28" s="860"/>
      <c r="F28" s="861"/>
      <c r="G28" s="707">
        <f>G10+G20+G27</f>
        <v>38405039.4</v>
      </c>
    </row>
    <row r="29" spans="1:7" ht="15.75">
      <c r="A29" s="852" t="s">
        <v>16</v>
      </c>
      <c r="B29" s="853"/>
      <c r="C29" s="853"/>
      <c r="D29" s="853"/>
      <c r="E29" s="853"/>
      <c r="F29" s="853"/>
      <c r="G29" s="856"/>
    </row>
    <row r="30" spans="1:7" ht="12.75">
      <c r="A30" s="16" t="s">
        <v>1</v>
      </c>
      <c r="B30" s="39" t="s">
        <v>10</v>
      </c>
      <c r="C30" s="31" t="s">
        <v>4</v>
      </c>
      <c r="D30" s="31"/>
      <c r="E30" s="31" t="s">
        <v>5</v>
      </c>
      <c r="F30" s="31" t="s">
        <v>47</v>
      </c>
      <c r="G30" s="12" t="s">
        <v>21</v>
      </c>
    </row>
    <row r="31" spans="1:7" ht="12.75">
      <c r="A31" s="27" t="s">
        <v>7</v>
      </c>
      <c r="B31" s="50"/>
      <c r="C31" s="38"/>
      <c r="D31" s="38"/>
      <c r="E31" s="17"/>
      <c r="F31" s="17"/>
      <c r="G31" s="21"/>
    </row>
    <row r="32" spans="1:9" ht="12.75">
      <c r="A32" s="28" t="s">
        <v>2</v>
      </c>
      <c r="B32" s="20">
        <v>1</v>
      </c>
      <c r="C32" s="740">
        <f>'Caminhão Coletor'!V58+'Veículo Apoio Coleta Domiciliar'!V59</f>
        <v>67868.02</v>
      </c>
      <c r="D32" s="740"/>
      <c r="E32" s="66">
        <f>'Mâo-de-obra Coleta Domiciliar'!J61</f>
        <v>171589.68</v>
      </c>
      <c r="F32" s="79">
        <v>60</v>
      </c>
      <c r="G32" s="19"/>
      <c r="I32" s="355"/>
    </row>
    <row r="33" spans="1:7" ht="12.75">
      <c r="A33" s="28" t="s">
        <v>442</v>
      </c>
      <c r="B33" s="20"/>
      <c r="C33" s="65"/>
      <c r="D33" s="65"/>
      <c r="E33" s="66"/>
      <c r="F33" s="79"/>
      <c r="G33" s="19"/>
    </row>
    <row r="34" spans="1:7" ht="12.75">
      <c r="A34" s="28" t="s">
        <v>476</v>
      </c>
      <c r="B34" s="51"/>
      <c r="C34" s="45"/>
      <c r="D34" s="45"/>
      <c r="E34" s="20"/>
      <c r="F34" s="20"/>
      <c r="G34" s="19"/>
    </row>
    <row r="35" spans="1:7" ht="12.75">
      <c r="A35" s="847" t="s">
        <v>27</v>
      </c>
      <c r="B35" s="848"/>
      <c r="C35" s="848"/>
      <c r="D35" s="848"/>
      <c r="E35" s="848"/>
      <c r="F35" s="789"/>
      <c r="G35" s="793"/>
    </row>
    <row r="36" spans="1:7" ht="15.75">
      <c r="A36" s="52" t="s">
        <v>1</v>
      </c>
      <c r="B36" s="788" t="s">
        <v>10</v>
      </c>
      <c r="C36" s="52" t="s">
        <v>4</v>
      </c>
      <c r="D36" s="52"/>
      <c r="E36" s="52" t="s">
        <v>5</v>
      </c>
      <c r="F36" s="52" t="s">
        <v>47</v>
      </c>
      <c r="G36" s="58"/>
    </row>
    <row r="37" spans="1:9" ht="12.75">
      <c r="A37" s="783" t="s">
        <v>515</v>
      </c>
      <c r="B37" s="55">
        <f>'Caminhão Coletor'!Q61</f>
        <v>2860</v>
      </c>
      <c r="C37" s="797">
        <f>C32/B37</f>
        <v>23.73</v>
      </c>
      <c r="D37" s="794"/>
      <c r="E37" s="797">
        <f>E32/B37</f>
        <v>59.996</v>
      </c>
      <c r="F37" s="79">
        <v>60</v>
      </c>
      <c r="G37" s="796">
        <f>B37*(C37+E37)*F37</f>
        <v>14367381.6</v>
      </c>
      <c r="I37" s="725"/>
    </row>
    <row r="38" spans="1:10" ht="18.75">
      <c r="A38" s="867" t="s">
        <v>30</v>
      </c>
      <c r="B38" s="868"/>
      <c r="C38" s="868"/>
      <c r="D38" s="868"/>
      <c r="E38" s="868"/>
      <c r="F38" s="869"/>
      <c r="G38" s="42">
        <f>G37</f>
        <v>14367381.6</v>
      </c>
      <c r="J38" s="64"/>
    </row>
    <row r="39" spans="1:7" ht="15.75">
      <c r="A39" s="857" t="s">
        <v>17</v>
      </c>
      <c r="B39" s="858"/>
      <c r="C39" s="858"/>
      <c r="D39" s="858"/>
      <c r="E39" s="858"/>
      <c r="F39" s="858"/>
      <c r="G39" s="856"/>
    </row>
    <row r="40" spans="1:7" ht="12.75">
      <c r="A40" s="16" t="s">
        <v>1</v>
      </c>
      <c r="B40" s="52" t="s">
        <v>10</v>
      </c>
      <c r="C40" s="31" t="s">
        <v>4</v>
      </c>
      <c r="D40" s="39" t="s">
        <v>261</v>
      </c>
      <c r="E40" s="31" t="s">
        <v>5</v>
      </c>
      <c r="F40" s="39" t="s">
        <v>47</v>
      </c>
      <c r="G40" s="12" t="s">
        <v>21</v>
      </c>
    </row>
    <row r="41" spans="1:7" ht="15.75">
      <c r="A41" s="27" t="s">
        <v>42</v>
      </c>
      <c r="B41" s="50"/>
      <c r="C41" s="24"/>
      <c r="D41" s="48"/>
      <c r="E41" s="48"/>
      <c r="F41" s="48"/>
      <c r="G41" s="21"/>
    </row>
    <row r="42" spans="1:7" ht="12.75">
      <c r="A42" s="28" t="s">
        <v>43</v>
      </c>
      <c r="B42" s="51"/>
      <c r="C42" s="20"/>
      <c r="D42" s="28"/>
      <c r="E42" s="28"/>
      <c r="F42" s="28"/>
      <c r="G42" s="18"/>
    </row>
    <row r="43" spans="1:7" ht="12.75">
      <c r="A43" s="28" t="s">
        <v>44</v>
      </c>
      <c r="B43" s="20">
        <v>1</v>
      </c>
      <c r="C43" s="66">
        <f>'Trator de Esteira'!V57+Retroescavadeira!V55+'Caminhão Bascul. Aterro Sanitár'!V59+'Van Equipe Equipe Aterro'!V63+'Caminhão Pipa'!V64</f>
        <v>50075.59</v>
      </c>
      <c r="D43" s="68">
        <f>'Insumos Aterro Sanitário'!J63</f>
        <v>17363.12</v>
      </c>
      <c r="E43" s="68">
        <f>'Mão-de-obra Aterro Sanitário'!J67</f>
        <v>63097.01</v>
      </c>
      <c r="F43" s="80">
        <v>60</v>
      </c>
      <c r="G43" s="66">
        <f>(C43+E43+D43)*F43</f>
        <v>7832143.2</v>
      </c>
    </row>
    <row r="44" spans="1:7" ht="12.75">
      <c r="A44" s="28" t="s">
        <v>41</v>
      </c>
      <c r="B44" s="51"/>
      <c r="C44" s="20"/>
      <c r="D44" s="28"/>
      <c r="E44" s="28"/>
      <c r="F44" s="28"/>
      <c r="G44" s="22"/>
    </row>
    <row r="45" spans="1:9" ht="12.75">
      <c r="A45" s="28" t="s">
        <v>22</v>
      </c>
      <c r="B45" s="51"/>
      <c r="C45" s="20"/>
      <c r="D45" s="28"/>
      <c r="E45" s="28"/>
      <c r="F45" s="28"/>
      <c r="G45" s="22"/>
      <c r="I45" s="76"/>
    </row>
    <row r="46" spans="1:7" ht="12.75">
      <c r="A46" s="28" t="s">
        <v>40</v>
      </c>
      <c r="B46" s="51"/>
      <c r="C46" s="20"/>
      <c r="D46" s="28"/>
      <c r="E46" s="28"/>
      <c r="F46" s="28"/>
      <c r="G46" s="23"/>
    </row>
    <row r="47" spans="1:7" ht="18.75">
      <c r="A47" s="867" t="s">
        <v>31</v>
      </c>
      <c r="B47" s="868"/>
      <c r="C47" s="868"/>
      <c r="D47" s="868"/>
      <c r="E47" s="868"/>
      <c r="F47" s="71"/>
      <c r="G47" s="49">
        <f>SUM(G41:G46)</f>
        <v>7832143.2</v>
      </c>
    </row>
    <row r="48" spans="1:7" ht="15.75">
      <c r="A48" s="857" t="s">
        <v>403</v>
      </c>
      <c r="B48" s="858"/>
      <c r="C48" s="858"/>
      <c r="D48" s="858"/>
      <c r="E48" s="858"/>
      <c r="F48" s="858"/>
      <c r="G48" s="856"/>
    </row>
    <row r="49" spans="1:7" ht="15.75">
      <c r="A49" s="16" t="s">
        <v>1</v>
      </c>
      <c r="B49" s="39" t="s">
        <v>10</v>
      </c>
      <c r="C49" s="844" t="s">
        <v>20</v>
      </c>
      <c r="D49" s="845"/>
      <c r="E49" s="846"/>
      <c r="F49" s="39" t="s">
        <v>47</v>
      </c>
      <c r="G49" s="33" t="s">
        <v>21</v>
      </c>
    </row>
    <row r="50" spans="1:7" ht="12.75">
      <c r="A50" s="17" t="s">
        <v>29</v>
      </c>
      <c r="B50" s="34">
        <v>1</v>
      </c>
      <c r="C50" s="864">
        <v>4500</v>
      </c>
      <c r="D50" s="865"/>
      <c r="E50" s="866"/>
      <c r="F50" s="81">
        <v>60</v>
      </c>
      <c r="G50" s="46">
        <f>B50*C50*F50</f>
        <v>270000</v>
      </c>
    </row>
    <row r="51" spans="1:7" ht="18.75">
      <c r="A51" s="867" t="s">
        <v>35</v>
      </c>
      <c r="B51" s="868"/>
      <c r="C51" s="868"/>
      <c r="D51" s="868"/>
      <c r="E51" s="868"/>
      <c r="F51" s="71"/>
      <c r="G51" s="42">
        <f>SUM(G50:G50)</f>
        <v>270000</v>
      </c>
    </row>
    <row r="52" spans="1:7" ht="22.5">
      <c r="A52" s="859" t="s">
        <v>19</v>
      </c>
      <c r="B52" s="860"/>
      <c r="C52" s="860"/>
      <c r="D52" s="860"/>
      <c r="E52" s="860"/>
      <c r="F52" s="861"/>
      <c r="G52" s="707">
        <f>G38+G47+G51</f>
        <v>22469524.8</v>
      </c>
    </row>
    <row r="53" spans="1:7" ht="18.75">
      <c r="A53" s="43"/>
      <c r="B53" s="44"/>
      <c r="C53" s="44"/>
      <c r="D53" s="44"/>
      <c r="E53" s="44"/>
      <c r="F53" s="44"/>
      <c r="G53" s="42"/>
    </row>
    <row r="54" spans="1:7" ht="15.75">
      <c r="A54" s="852" t="s">
        <v>18</v>
      </c>
      <c r="B54" s="853"/>
      <c r="C54" s="853"/>
      <c r="D54" s="853"/>
      <c r="E54" s="853"/>
      <c r="F54" s="853"/>
      <c r="G54" s="856"/>
    </row>
    <row r="55" spans="1:7" ht="15.75">
      <c r="A55" s="39" t="s">
        <v>1</v>
      </c>
      <c r="B55" s="54" t="s">
        <v>10</v>
      </c>
      <c r="C55" s="852" t="s">
        <v>9</v>
      </c>
      <c r="D55" s="853"/>
      <c r="E55" s="856"/>
      <c r="F55" s="39" t="s">
        <v>47</v>
      </c>
      <c r="G55" s="53"/>
    </row>
    <row r="56" spans="1:7" ht="12.75">
      <c r="A56" s="17" t="s">
        <v>23</v>
      </c>
      <c r="B56" s="55">
        <f>'[1]Pick Up Fiorino Coleta Hospital'!$F$8</f>
        <v>3080</v>
      </c>
      <c r="C56" s="862">
        <f>'Pick Up Fiorino Coleta Hospital'!V61</f>
        <v>0.46</v>
      </c>
      <c r="D56" s="863"/>
      <c r="E56" s="863"/>
      <c r="F56" s="81">
        <v>60</v>
      </c>
      <c r="G56" s="77">
        <f>B56*C56*F56</f>
        <v>85008</v>
      </c>
    </row>
    <row r="57" spans="1:7" ht="12.75">
      <c r="A57" s="20" t="s">
        <v>514</v>
      </c>
      <c r="B57" s="78">
        <f>B56</f>
        <v>3080</v>
      </c>
      <c r="C57" s="854">
        <v>5.46</v>
      </c>
      <c r="D57" s="855"/>
      <c r="E57" s="855"/>
      <c r="F57" s="80">
        <v>60</v>
      </c>
      <c r="G57" s="36">
        <f>B57*C57*F57</f>
        <v>1009008</v>
      </c>
    </row>
    <row r="58" spans="1:7" ht="15.75">
      <c r="A58" s="852" t="s">
        <v>24</v>
      </c>
      <c r="B58" s="853"/>
      <c r="C58" s="853"/>
      <c r="D58" s="853"/>
      <c r="E58" s="853"/>
      <c r="F58" s="70"/>
      <c r="G58" s="58">
        <f>SUM(G54:G57)</f>
        <v>1094016</v>
      </c>
    </row>
    <row r="59" spans="1:7" ht="12.75">
      <c r="A59" s="47" t="s">
        <v>25</v>
      </c>
      <c r="B59" s="40">
        <f>B57</f>
        <v>3080</v>
      </c>
      <c r="C59" s="849">
        <f>'Mâo-de-obra Coleta Hospitalar'!J54</f>
        <v>2.05</v>
      </c>
      <c r="D59" s="850"/>
      <c r="E59" s="851"/>
      <c r="F59" s="82">
        <v>60</v>
      </c>
      <c r="G59" s="41">
        <f>B59*C59*F59</f>
        <v>378840</v>
      </c>
    </row>
    <row r="60" spans="1:7" ht="22.5">
      <c r="A60" s="709" t="s">
        <v>36</v>
      </c>
      <c r="B60" s="63">
        <f>B59</f>
        <v>3080</v>
      </c>
      <c r="C60" s="841">
        <f>C56+C57+C59</f>
        <v>7.97</v>
      </c>
      <c r="D60" s="842"/>
      <c r="E60" s="843"/>
      <c r="F60" s="83">
        <v>60</v>
      </c>
      <c r="G60" s="708">
        <f>B60*C60*F60</f>
        <v>1472856</v>
      </c>
    </row>
    <row r="61" spans="10:11" ht="12">
      <c r="J61" s="64"/>
      <c r="K61" s="64"/>
    </row>
    <row r="62" ht="17.25" customHeight="1">
      <c r="A62" s="69" t="s">
        <v>510</v>
      </c>
    </row>
    <row r="63" spans="2:6" ht="17.25" customHeight="1">
      <c r="B63" s="11"/>
      <c r="C63" s="11"/>
      <c r="D63" s="11"/>
      <c r="E63" s="11"/>
      <c r="F63" s="11"/>
    </row>
    <row r="64" spans="1:7" ht="17.25" customHeight="1">
      <c r="A64" s="69" t="str">
        <f>'Trator de Esteira'!A61</f>
        <v>Patos de Minas-MG, 16 de Novembro de 2015.</v>
      </c>
      <c r="G64" s="76"/>
    </row>
    <row r="65" spans="1:7" ht="12.75">
      <c r="A65" s="2"/>
      <c r="B65" s="2"/>
      <c r="C65" s="2"/>
      <c r="D65" s="2"/>
      <c r="E65" s="2"/>
      <c r="F65" s="2"/>
      <c r="G65" s="2"/>
    </row>
    <row r="66" spans="1:7" ht="12">
      <c r="A66" s="13"/>
      <c r="B66" s="13"/>
      <c r="C66" s="13"/>
      <c r="D66" s="13"/>
      <c r="E66" s="13"/>
      <c r="F66" s="13"/>
      <c r="G66" s="62"/>
    </row>
    <row r="67" spans="1:7" ht="12.75">
      <c r="A67" s="13"/>
      <c r="B67" s="13"/>
      <c r="C67" s="13"/>
      <c r="D67" s="13"/>
      <c r="E67" s="13"/>
      <c r="F67" s="13"/>
      <c r="G67" s="2"/>
    </row>
    <row r="68" spans="1:7" ht="12.75">
      <c r="A68" s="2"/>
      <c r="B68" s="2"/>
      <c r="C68" s="2"/>
      <c r="D68" s="2"/>
      <c r="E68" s="2"/>
      <c r="F68" s="2"/>
      <c r="G68" s="76"/>
    </row>
    <row r="69" spans="1:7" ht="12.75">
      <c r="A69" s="2"/>
      <c r="B69" s="2"/>
      <c r="C69" s="2"/>
      <c r="D69" s="2"/>
      <c r="E69" s="2"/>
      <c r="F69" s="2"/>
      <c r="G69" s="5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5"/>
    </row>
    <row r="73" spans="1:7" ht="12.75">
      <c r="A73" s="2"/>
      <c r="B73" s="2"/>
      <c r="C73" s="2"/>
      <c r="D73" s="2"/>
      <c r="E73" s="2"/>
      <c r="F73" s="2"/>
      <c r="G73" s="2"/>
    </row>
    <row r="74" spans="1:7" ht="12">
      <c r="A74" s="4"/>
      <c r="B74" s="4"/>
      <c r="C74" s="4"/>
      <c r="D74" s="4"/>
      <c r="E74" s="4"/>
      <c r="F74" s="4"/>
      <c r="G74" s="4"/>
    </row>
    <row r="75" spans="1:7" ht="12">
      <c r="A75" s="4"/>
      <c r="B75" s="4"/>
      <c r="C75" s="4"/>
      <c r="D75" s="4"/>
      <c r="E75" s="4"/>
      <c r="F75" s="4"/>
      <c r="G75" s="6"/>
    </row>
    <row r="76" spans="1:7" ht="12">
      <c r="A76" s="4"/>
      <c r="B76" s="4"/>
      <c r="C76" s="4"/>
      <c r="D76" s="4"/>
      <c r="E76" s="4"/>
      <c r="F76" s="4"/>
      <c r="G76" s="4"/>
    </row>
    <row r="77" spans="1:7" ht="12">
      <c r="A77" s="4"/>
      <c r="B77" s="4"/>
      <c r="C77" s="4"/>
      <c r="D77" s="4"/>
      <c r="E77" s="4"/>
      <c r="F77" s="4"/>
      <c r="G77" s="4"/>
    </row>
    <row r="78" spans="1:7" ht="12">
      <c r="A78" s="7"/>
      <c r="B78" s="7"/>
      <c r="C78" s="7"/>
      <c r="D78" s="7"/>
      <c r="E78" s="7"/>
      <c r="F78" s="7"/>
      <c r="G78" s="7"/>
    </row>
    <row r="79" spans="1:7" ht="12">
      <c r="A79" s="4"/>
      <c r="B79" s="4"/>
      <c r="C79" s="4"/>
      <c r="D79" s="4"/>
      <c r="E79" s="4"/>
      <c r="F79" s="4"/>
      <c r="G79" s="4"/>
    </row>
    <row r="80" spans="1:7" ht="12">
      <c r="A80" s="7"/>
      <c r="B80" s="7"/>
      <c r="C80" s="7"/>
      <c r="D80" s="7"/>
      <c r="E80" s="7"/>
      <c r="F80" s="7"/>
      <c r="G80" s="7"/>
    </row>
    <row r="81" spans="1:7" ht="12">
      <c r="A81" s="4"/>
      <c r="B81" s="4"/>
      <c r="C81" s="4"/>
      <c r="D81" s="4"/>
      <c r="E81" s="4"/>
      <c r="F81" s="4"/>
      <c r="G81" s="4"/>
    </row>
    <row r="82" spans="1:7" ht="12">
      <c r="A82" s="4"/>
      <c r="B82" s="4"/>
      <c r="C82" s="4"/>
      <c r="D82" s="4"/>
      <c r="E82" s="4"/>
      <c r="F82" s="4"/>
      <c r="G82" s="4"/>
    </row>
    <row r="83" spans="1:7" ht="12">
      <c r="A83" s="8"/>
      <c r="B83" s="8"/>
      <c r="C83" s="8"/>
      <c r="D83" s="8"/>
      <c r="E83" s="8"/>
      <c r="F83" s="8"/>
      <c r="G83" s="9"/>
    </row>
    <row r="84" spans="1:7" ht="12">
      <c r="A84" s="8"/>
      <c r="B84" s="8"/>
      <c r="C84" s="8"/>
      <c r="D84" s="8"/>
      <c r="E84" s="8"/>
      <c r="F84" s="8"/>
      <c r="G84" s="8"/>
    </row>
    <row r="85" spans="1:7" ht="12">
      <c r="A85" s="8"/>
      <c r="B85" s="8"/>
      <c r="C85" s="8"/>
      <c r="D85" s="8"/>
      <c r="E85" s="8"/>
      <c r="F85" s="8"/>
      <c r="G85" s="8"/>
    </row>
    <row r="86" spans="1:7" ht="12">
      <c r="A86" s="8"/>
      <c r="B86" s="8"/>
      <c r="C86" s="8"/>
      <c r="D86" s="8"/>
      <c r="E86" s="8"/>
      <c r="F86" s="8"/>
      <c r="G86" s="9"/>
    </row>
    <row r="87" spans="1:7" ht="12">
      <c r="A87" s="8"/>
      <c r="B87" s="8"/>
      <c r="C87" s="8"/>
      <c r="D87" s="8"/>
      <c r="E87" s="8"/>
      <c r="F87" s="8"/>
      <c r="G87" s="8"/>
    </row>
    <row r="88" spans="1:7" ht="12">
      <c r="A88" s="8"/>
      <c r="B88" s="8"/>
      <c r="C88" s="8"/>
      <c r="D88" s="8"/>
      <c r="E88" s="8"/>
      <c r="F88" s="8"/>
      <c r="G88" s="8"/>
    </row>
    <row r="89" spans="1:7" ht="12">
      <c r="A89" s="8"/>
      <c r="B89" s="8"/>
      <c r="C89" s="8"/>
      <c r="D89" s="8"/>
      <c r="E89" s="8"/>
      <c r="F89" s="8"/>
      <c r="G89" s="3"/>
    </row>
    <row r="90" spans="1:7" ht="12">
      <c r="A90" s="8"/>
      <c r="B90" s="8"/>
      <c r="C90" s="8"/>
      <c r="D90" s="8"/>
      <c r="E90" s="8"/>
      <c r="F90" s="8"/>
      <c r="G90" s="8"/>
    </row>
    <row r="91" spans="1:7" ht="12">
      <c r="A91" s="8"/>
      <c r="B91" s="8"/>
      <c r="C91" s="8"/>
      <c r="D91" s="8"/>
      <c r="E91" s="8"/>
      <c r="F91" s="8"/>
      <c r="G91" s="8"/>
    </row>
    <row r="92" spans="1:7" ht="12">
      <c r="A92" s="8"/>
      <c r="B92" s="8"/>
      <c r="C92" s="8"/>
      <c r="D92" s="8"/>
      <c r="E92" s="8"/>
      <c r="F92" s="8"/>
      <c r="G92" s="3"/>
    </row>
    <row r="93" spans="1:7" ht="12">
      <c r="A93" s="8"/>
      <c r="B93" s="8"/>
      <c r="C93" s="8"/>
      <c r="D93" s="8"/>
      <c r="E93" s="8"/>
      <c r="F93" s="8"/>
      <c r="G93" s="8"/>
    </row>
    <row r="94" spans="1:7" ht="12">
      <c r="A94" s="10"/>
      <c r="B94" s="10"/>
      <c r="C94" s="10"/>
      <c r="D94" s="10"/>
      <c r="E94" s="10"/>
      <c r="F94" s="10"/>
      <c r="G94" s="10"/>
    </row>
    <row r="95" spans="1:7" ht="12">
      <c r="A95" s="8"/>
      <c r="B95" s="8"/>
      <c r="C95" s="8"/>
      <c r="D95" s="8"/>
      <c r="E95" s="8"/>
      <c r="F95" s="8"/>
      <c r="G95" s="8"/>
    </row>
    <row r="96" spans="1:7" ht="12">
      <c r="A96" s="8"/>
      <c r="B96" s="8"/>
      <c r="C96" s="8"/>
      <c r="D96" s="8"/>
      <c r="E96" s="8"/>
      <c r="F96" s="8"/>
      <c r="G96" s="9"/>
    </row>
    <row r="97" spans="1:7" ht="12">
      <c r="A97" s="8"/>
      <c r="B97" s="8"/>
      <c r="C97" s="8"/>
      <c r="D97" s="8"/>
      <c r="E97" s="8"/>
      <c r="F97" s="8"/>
      <c r="G97" s="8"/>
    </row>
    <row r="98" spans="1:7" ht="12">
      <c r="A98" s="10"/>
      <c r="B98" s="10"/>
      <c r="C98" s="10"/>
      <c r="D98" s="10"/>
      <c r="E98" s="10"/>
      <c r="F98" s="10"/>
      <c r="G98" s="10"/>
    </row>
    <row r="99" spans="1:7" ht="12">
      <c r="A99" s="4"/>
      <c r="B99" s="4"/>
      <c r="C99" s="4"/>
      <c r="D99" s="4"/>
      <c r="E99" s="4"/>
      <c r="F99" s="4"/>
      <c r="G99" s="4"/>
    </row>
    <row r="100" spans="1:7" ht="12">
      <c r="A100" s="4"/>
      <c r="B100" s="4"/>
      <c r="C100" s="4"/>
      <c r="D100" s="4"/>
      <c r="E100" s="4"/>
      <c r="F100" s="4"/>
      <c r="G100" s="4"/>
    </row>
  </sheetData>
  <sheetProtection password="F184" sheet="1"/>
  <mergeCells count="26">
    <mergeCell ref="A10:F10"/>
    <mergeCell ref="A16:F16"/>
    <mergeCell ref="A20:F20"/>
    <mergeCell ref="A27:F27"/>
    <mergeCell ref="A38:F38"/>
    <mergeCell ref="A1:G1"/>
    <mergeCell ref="A5:G5"/>
    <mergeCell ref="A29:G29"/>
    <mergeCell ref="A11:G11"/>
    <mergeCell ref="A21:G21"/>
    <mergeCell ref="A28:F28"/>
    <mergeCell ref="C56:E56"/>
    <mergeCell ref="C50:E50"/>
    <mergeCell ref="A47:E47"/>
    <mergeCell ref="A51:E51"/>
    <mergeCell ref="A48:G48"/>
    <mergeCell ref="A52:F52"/>
    <mergeCell ref="C60:E60"/>
    <mergeCell ref="C49:E49"/>
    <mergeCell ref="A35:E35"/>
    <mergeCell ref="C59:E59"/>
    <mergeCell ref="A58:E58"/>
    <mergeCell ref="C57:E57"/>
    <mergeCell ref="A54:G54"/>
    <mergeCell ref="C55:E55"/>
    <mergeCell ref="A39:G39"/>
  </mergeCells>
  <printOptions horizontalCentered="1" verticalCentered="1"/>
  <pageMargins left="0" right="0" top="0" bottom="0" header="0" footer="0"/>
  <pageSetup horizontalDpi="600" verticalDpi="600" orientation="portrait" paperSize="9" scale="60" r:id="rId1"/>
  <headerFooter alignWithMargins="0">
    <oddHeader>&amp;CPágina 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8"/>
  <sheetViews>
    <sheetView zoomScalePageLayoutView="0" workbookViewId="0" topLeftCell="A4">
      <selection activeCell="D37" sqref="D37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2" width="11.00390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812" t="s">
        <v>332</v>
      </c>
      <c r="B1" s="813"/>
      <c r="C1" s="813"/>
      <c r="D1" s="813"/>
      <c r="E1" s="813"/>
      <c r="F1" s="813"/>
      <c r="G1" s="813"/>
      <c r="H1" s="813"/>
      <c r="I1" s="813"/>
      <c r="J1" s="813"/>
      <c r="K1" s="814"/>
      <c r="L1" s="432"/>
      <c r="M1" s="806" t="str">
        <f>A1</f>
        <v>CUSTO  DE  VEÍCULO  DE  TRANSPORTE  DE  EQUIPE  ATERRO   SANITÁRIO</v>
      </c>
      <c r="N1" s="807"/>
      <c r="O1" s="807"/>
      <c r="P1" s="807"/>
      <c r="Q1" s="807"/>
      <c r="R1" s="807"/>
      <c r="S1" s="807"/>
      <c r="T1" s="807"/>
      <c r="U1" s="807"/>
      <c r="V1" s="807"/>
      <c r="W1" s="808"/>
    </row>
    <row r="2" spans="1:23" ht="20.25">
      <c r="A2" s="433" t="s">
        <v>222</v>
      </c>
      <c r="B2" s="434"/>
      <c r="C2" s="435"/>
      <c r="D2" s="434"/>
      <c r="E2" s="434"/>
      <c r="F2" s="434"/>
      <c r="G2" s="436"/>
      <c r="H2" s="434"/>
      <c r="I2" s="434"/>
      <c r="J2" s="434"/>
      <c r="K2" s="437"/>
      <c r="L2" s="432"/>
      <c r="M2" s="438" t="str">
        <f>A2</f>
        <v>DEMONSTRATIVO   MENSAL   DE   CUSTO   DE   SERVIÇOS</v>
      </c>
      <c r="N2" s="439"/>
      <c r="O2" s="439"/>
      <c r="P2" s="439"/>
      <c r="Q2" s="439"/>
      <c r="R2" s="439"/>
      <c r="S2" s="440"/>
      <c r="T2" s="439"/>
      <c r="U2" s="439"/>
      <c r="V2" s="439"/>
      <c r="W2" s="441"/>
    </row>
    <row r="3" spans="1:23" ht="21" thickBot="1">
      <c r="A3" s="442" t="s">
        <v>333</v>
      </c>
      <c r="B3" s="443"/>
      <c r="C3" s="443"/>
      <c r="D3" s="443"/>
      <c r="E3" s="444"/>
      <c r="F3" s="443"/>
      <c r="G3" s="443"/>
      <c r="H3" s="443"/>
      <c r="I3" s="443"/>
      <c r="J3" s="443"/>
      <c r="K3" s="445" t="s">
        <v>51</v>
      </c>
      <c r="L3" s="432"/>
      <c r="M3" s="446" t="s">
        <v>52</v>
      </c>
      <c r="N3" s="447"/>
      <c r="O3" s="447"/>
      <c r="P3" s="447"/>
      <c r="Q3" s="447"/>
      <c r="R3" s="447"/>
      <c r="S3" s="447"/>
      <c r="T3" s="447"/>
      <c r="U3" s="447"/>
      <c r="V3" s="447"/>
      <c r="W3" s="448" t="s">
        <v>51</v>
      </c>
    </row>
    <row r="4" spans="1:23" ht="12.75">
      <c r="A4" s="449"/>
      <c r="B4" s="450"/>
      <c r="C4" s="450"/>
      <c r="D4" s="450"/>
      <c r="E4" s="450"/>
      <c r="F4" s="450"/>
      <c r="G4" s="450"/>
      <c r="H4" s="450"/>
      <c r="I4" s="450"/>
      <c r="J4" s="450"/>
      <c r="K4" s="451"/>
      <c r="L4" s="432"/>
      <c r="M4" s="452" t="str">
        <f>A6</f>
        <v>Descrição do Veiculo: VAN   SPRINTER   ou   SIMILAR</v>
      </c>
      <c r="N4" s="453"/>
      <c r="O4" s="453"/>
      <c r="P4" s="453"/>
      <c r="Q4" s="453"/>
      <c r="R4" s="453"/>
      <c r="S4" s="453"/>
      <c r="T4" s="453"/>
      <c r="U4" s="453"/>
      <c r="V4" s="454"/>
      <c r="W4" s="455"/>
    </row>
    <row r="5" spans="1:23" ht="20.25">
      <c r="A5" s="809" t="s">
        <v>53</v>
      </c>
      <c r="B5" s="810"/>
      <c r="C5" s="810"/>
      <c r="D5" s="810"/>
      <c r="E5" s="810"/>
      <c r="F5" s="810"/>
      <c r="G5" s="810"/>
      <c r="H5" s="810"/>
      <c r="I5" s="810"/>
      <c r="J5" s="811"/>
      <c r="K5" s="456"/>
      <c r="L5" s="432"/>
      <c r="M5" s="457" t="str">
        <f>A7</f>
        <v>Ano de Fabricação: 2005</v>
      </c>
      <c r="N5" s="458"/>
      <c r="O5" s="458" t="str">
        <f>A9</f>
        <v>Contratante:</v>
      </c>
      <c r="P5" s="459" t="str">
        <f>B9</f>
        <v>PREFEITURA   MUNICIPAL   DE   PATOS   DE   MINAS - MG</v>
      </c>
      <c r="Q5" s="460"/>
      <c r="R5" s="458"/>
      <c r="S5" s="458"/>
      <c r="T5" s="458"/>
      <c r="U5" s="458"/>
      <c r="V5" s="461"/>
      <c r="W5" s="451"/>
    </row>
    <row r="6" spans="1:23" ht="12.75">
      <c r="A6" s="452" t="s">
        <v>334</v>
      </c>
      <c r="B6" s="453"/>
      <c r="C6" s="453"/>
      <c r="D6" s="453"/>
      <c r="E6" s="462"/>
      <c r="F6" s="453"/>
      <c r="G6" s="453"/>
      <c r="H6" s="453"/>
      <c r="I6" s="453"/>
      <c r="J6" s="453"/>
      <c r="K6" s="463"/>
      <c r="L6" s="432"/>
      <c r="M6" s="457" t="str">
        <f>A8</f>
        <v>Tipo de Combustível: Diesel</v>
      </c>
      <c r="N6" s="458"/>
      <c r="O6" s="458"/>
      <c r="P6" s="458"/>
      <c r="Q6" s="464"/>
      <c r="R6" s="458"/>
      <c r="S6" s="458"/>
      <c r="T6" s="458"/>
      <c r="U6" s="458"/>
      <c r="V6" s="461"/>
      <c r="W6" s="451"/>
    </row>
    <row r="7" spans="1:23" ht="12.75">
      <c r="A7" s="457" t="s">
        <v>55</v>
      </c>
      <c r="B7" s="458"/>
      <c r="C7" s="458"/>
      <c r="D7" s="458"/>
      <c r="E7" s="458"/>
      <c r="F7" s="458"/>
      <c r="G7" s="458"/>
      <c r="H7" s="458"/>
      <c r="I7" s="458"/>
      <c r="J7" s="458"/>
      <c r="K7" s="465"/>
      <c r="L7" s="432"/>
      <c r="M7" s="466" t="str">
        <f>A10</f>
        <v>Km Estimada: </v>
      </c>
      <c r="N7" s="461"/>
      <c r="O7" s="467">
        <f>C10</f>
        <v>1800</v>
      </c>
      <c r="P7" s="461" t="str">
        <f>D10</f>
        <v>Km</v>
      </c>
      <c r="Q7" s="461"/>
      <c r="R7" s="461"/>
      <c r="S7" s="461"/>
      <c r="T7" s="461"/>
      <c r="U7" s="461"/>
      <c r="V7" s="461"/>
      <c r="W7" s="451"/>
    </row>
    <row r="8" spans="1:23" ht="12.75">
      <c r="A8" s="457" t="s">
        <v>56</v>
      </c>
      <c r="B8" s="458"/>
      <c r="C8" s="458"/>
      <c r="D8" s="458"/>
      <c r="E8" s="458"/>
      <c r="F8" s="458"/>
      <c r="G8" s="458"/>
      <c r="H8" s="458" t="s">
        <v>57</v>
      </c>
      <c r="I8" s="468">
        <v>0</v>
      </c>
      <c r="J8" s="458"/>
      <c r="K8" s="465"/>
      <c r="L8" s="432"/>
      <c r="M8" s="469" t="str">
        <f>A11</f>
        <v>Horário:</v>
      </c>
      <c r="N8" s="470">
        <v>0.333333333333333</v>
      </c>
      <c r="O8" s="471" t="s">
        <v>58</v>
      </c>
      <c r="P8" s="470">
        <f>D11</f>
        <v>0.708333333333333</v>
      </c>
      <c r="Q8" s="472" t="s">
        <v>59</v>
      </c>
      <c r="R8" s="473"/>
      <c r="S8" s="474"/>
      <c r="T8" s="474"/>
      <c r="U8" s="474"/>
      <c r="V8" s="474"/>
      <c r="W8" s="451"/>
    </row>
    <row r="9" spans="1:23" ht="15.75">
      <c r="A9" s="457" t="s">
        <v>60</v>
      </c>
      <c r="B9" s="459" t="s">
        <v>61</v>
      </c>
      <c r="C9" s="458"/>
      <c r="D9" s="458"/>
      <c r="E9" s="458"/>
      <c r="F9" s="458"/>
      <c r="G9" s="458"/>
      <c r="H9" s="458"/>
      <c r="I9" s="468"/>
      <c r="J9" s="458"/>
      <c r="K9" s="465"/>
      <c r="L9" s="432"/>
      <c r="M9" s="466"/>
      <c r="N9" s="475"/>
      <c r="O9" s="476"/>
      <c r="P9" s="475"/>
      <c r="Q9" s="477"/>
      <c r="R9" s="475"/>
      <c r="S9" s="461"/>
      <c r="T9" s="461"/>
      <c r="U9" s="461"/>
      <c r="V9" s="461"/>
      <c r="W9" s="451"/>
    </row>
    <row r="10" spans="1:28" ht="12.75">
      <c r="A10" s="457" t="s">
        <v>62</v>
      </c>
      <c r="B10" s="458"/>
      <c r="C10" s="478">
        <f>15*30*4</f>
        <v>1800</v>
      </c>
      <c r="D10" s="458" t="s">
        <v>63</v>
      </c>
      <c r="E10" s="458"/>
      <c r="F10" s="458"/>
      <c r="G10" s="458"/>
      <c r="H10" s="458"/>
      <c r="I10" s="458"/>
      <c r="J10" s="458"/>
      <c r="K10" s="465"/>
      <c r="L10" s="432"/>
      <c r="M10" s="479"/>
      <c r="N10" s="480"/>
      <c r="O10" s="480"/>
      <c r="P10" s="480"/>
      <c r="Q10" s="480"/>
      <c r="R10" s="454"/>
      <c r="S10" s="481"/>
      <c r="T10" s="480"/>
      <c r="U10" s="482" t="s">
        <v>64</v>
      </c>
      <c r="V10" s="483"/>
      <c r="W10" s="451"/>
      <c r="AB10" s="1">
        <f>180.55*20</f>
        <v>3611</v>
      </c>
    </row>
    <row r="11" spans="1:28" ht="12.75">
      <c r="A11" s="469" t="s">
        <v>65</v>
      </c>
      <c r="B11" s="484">
        <v>0.291666666666667</v>
      </c>
      <c r="C11" s="471" t="s">
        <v>58</v>
      </c>
      <c r="D11" s="484">
        <v>0.708333333333333</v>
      </c>
      <c r="E11" s="472" t="s">
        <v>59</v>
      </c>
      <c r="F11" s="473" t="s">
        <v>335</v>
      </c>
      <c r="G11" s="474"/>
      <c r="H11" s="474"/>
      <c r="I11" s="474"/>
      <c r="J11" s="474"/>
      <c r="K11" s="465"/>
      <c r="L11" s="432"/>
      <c r="M11" s="485" t="s">
        <v>66</v>
      </c>
      <c r="N11" s="486" t="s">
        <v>67</v>
      </c>
      <c r="O11" s="486" t="s">
        <v>68</v>
      </c>
      <c r="P11" s="486" t="s">
        <v>67</v>
      </c>
      <c r="Q11" s="486" t="s">
        <v>69</v>
      </c>
      <c r="R11" s="801" t="s">
        <v>70</v>
      </c>
      <c r="S11" s="802"/>
      <c r="T11" s="486" t="s">
        <v>71</v>
      </c>
      <c r="U11" s="486" t="s">
        <v>72</v>
      </c>
      <c r="V11" s="487" t="s">
        <v>73</v>
      </c>
      <c r="W11" s="451"/>
      <c r="AB11" s="1">
        <f>1120.82*4</f>
        <v>4483.28</v>
      </c>
    </row>
    <row r="12" spans="1:23" ht="12.75">
      <c r="A12" s="488"/>
      <c r="B12" s="489"/>
      <c r="C12" s="489"/>
      <c r="D12" s="489"/>
      <c r="E12" s="489"/>
      <c r="F12" s="489"/>
      <c r="G12" s="489"/>
      <c r="H12" s="489"/>
      <c r="I12" s="482" t="s">
        <v>64</v>
      </c>
      <c r="J12" s="490"/>
      <c r="K12" s="491"/>
      <c r="L12" s="432"/>
      <c r="M12" s="492"/>
      <c r="N12" s="493"/>
      <c r="O12" s="493"/>
      <c r="P12" s="493"/>
      <c r="Q12" s="493"/>
      <c r="R12" s="474"/>
      <c r="S12" s="494"/>
      <c r="T12" s="493"/>
      <c r="U12" s="495" t="s">
        <v>74</v>
      </c>
      <c r="V12" s="496"/>
      <c r="W12" s="497"/>
    </row>
    <row r="13" spans="1:28" ht="12.75">
      <c r="A13" s="485" t="s">
        <v>75</v>
      </c>
      <c r="B13" s="486" t="s">
        <v>67</v>
      </c>
      <c r="C13" s="486" t="s">
        <v>76</v>
      </c>
      <c r="D13" s="486" t="s">
        <v>67</v>
      </c>
      <c r="E13" s="486" t="s">
        <v>66</v>
      </c>
      <c r="F13" s="486" t="s">
        <v>69</v>
      </c>
      <c r="G13" s="486" t="s">
        <v>70</v>
      </c>
      <c r="H13" s="486" t="s">
        <v>71</v>
      </c>
      <c r="I13" s="486" t="s">
        <v>72</v>
      </c>
      <c r="J13" s="487" t="s">
        <v>73</v>
      </c>
      <c r="K13" s="498"/>
      <c r="L13" s="432"/>
      <c r="M13" s="479"/>
      <c r="N13" s="480"/>
      <c r="O13" s="480"/>
      <c r="P13" s="499"/>
      <c r="Q13" s="499"/>
      <c r="R13" s="461"/>
      <c r="S13" s="461"/>
      <c r="T13" s="480"/>
      <c r="U13" s="499"/>
      <c r="V13" s="483"/>
      <c r="W13" s="451"/>
      <c r="AB13" s="1">
        <f>SUM(AB10:AB12)</f>
        <v>8094.28</v>
      </c>
    </row>
    <row r="14" spans="1:23" ht="12.75">
      <c r="A14" s="500"/>
      <c r="B14" s="501"/>
      <c r="C14" s="501"/>
      <c r="D14" s="501"/>
      <c r="E14" s="501"/>
      <c r="F14" s="501"/>
      <c r="G14" s="501"/>
      <c r="H14" s="501"/>
      <c r="I14" s="495" t="s">
        <v>74</v>
      </c>
      <c r="J14" s="502"/>
      <c r="K14" s="491"/>
      <c r="L14" s="432"/>
      <c r="M14" s="503"/>
      <c r="N14" s="499"/>
      <c r="O14" s="499"/>
      <c r="P14" s="499"/>
      <c r="Q14" s="504" t="s">
        <v>77</v>
      </c>
      <c r="R14" s="505" t="s">
        <v>78</v>
      </c>
      <c r="S14" s="506"/>
      <c r="T14" s="499"/>
      <c r="U14" s="499"/>
      <c r="V14" s="487" t="s">
        <v>73</v>
      </c>
      <c r="W14" s="451"/>
    </row>
    <row r="15" spans="1:23" ht="12.75">
      <c r="A15" s="503"/>
      <c r="B15" s="499"/>
      <c r="C15" s="499"/>
      <c r="D15" s="499"/>
      <c r="E15" s="499"/>
      <c r="F15" s="499"/>
      <c r="G15" s="499"/>
      <c r="H15" s="499"/>
      <c r="I15" s="499"/>
      <c r="J15" s="507"/>
      <c r="K15" s="465"/>
      <c r="L15" s="432"/>
      <c r="M15" s="503"/>
      <c r="N15" s="499"/>
      <c r="O15" s="499"/>
      <c r="P15" s="499"/>
      <c r="Q15" s="499"/>
      <c r="R15" s="461"/>
      <c r="S15" s="506"/>
      <c r="T15" s="499"/>
      <c r="U15" s="508"/>
      <c r="V15" s="507"/>
      <c r="W15" s="451"/>
    </row>
    <row r="16" spans="1:23" ht="12.75">
      <c r="A16" s="503"/>
      <c r="B16" s="499"/>
      <c r="C16" s="499"/>
      <c r="D16" s="499"/>
      <c r="E16" s="499"/>
      <c r="F16" s="504" t="s">
        <v>79</v>
      </c>
      <c r="G16" s="486" t="s">
        <v>80</v>
      </c>
      <c r="H16" s="499"/>
      <c r="I16" s="499"/>
      <c r="J16" s="507"/>
      <c r="K16" s="465"/>
      <c r="L16" s="432"/>
      <c r="M16" s="509">
        <v>2.5</v>
      </c>
      <c r="N16" s="486" t="s">
        <v>81</v>
      </c>
      <c r="O16" s="510">
        <v>1000000</v>
      </c>
      <c r="P16" s="486" t="s">
        <v>63</v>
      </c>
      <c r="Q16" s="504" t="s">
        <v>82</v>
      </c>
      <c r="R16" s="505" t="s">
        <v>83</v>
      </c>
      <c r="S16" s="506"/>
      <c r="T16" s="511">
        <f>(M16/O16)</f>
        <v>2.5E-06</v>
      </c>
      <c r="U16" s="512">
        <f>I18</f>
        <v>51557.33</v>
      </c>
      <c r="V16" s="513">
        <f aca="true" t="shared" si="0" ref="V16:V22">(+U16*T16)</f>
        <v>0.1289</v>
      </c>
      <c r="W16" s="514">
        <f>V16*C10/V63</f>
        <v>0.0673</v>
      </c>
    </row>
    <row r="17" spans="1:23" ht="12.75">
      <c r="A17" s="503"/>
      <c r="B17" s="499"/>
      <c r="C17" s="499"/>
      <c r="D17" s="499"/>
      <c r="E17" s="499"/>
      <c r="F17" s="499"/>
      <c r="G17" s="499"/>
      <c r="H17" s="499"/>
      <c r="I17" s="499"/>
      <c r="J17" s="507"/>
      <c r="K17" s="465"/>
      <c r="L17" s="432"/>
      <c r="M17" s="515">
        <v>15</v>
      </c>
      <c r="N17" s="486" t="s">
        <v>51</v>
      </c>
      <c r="O17" s="510" t="s">
        <v>84</v>
      </c>
      <c r="P17" s="516" t="s">
        <v>84</v>
      </c>
      <c r="Q17" s="504" t="s">
        <v>85</v>
      </c>
      <c r="R17" s="505" t="s">
        <v>86</v>
      </c>
      <c r="S17" s="506"/>
      <c r="T17" s="511">
        <f>(+M17/100)</f>
        <v>0.15</v>
      </c>
      <c r="U17" s="517">
        <f>V16</f>
        <v>0.1289</v>
      </c>
      <c r="V17" s="513">
        <f t="shared" si="0"/>
        <v>0.0193</v>
      </c>
      <c r="W17" s="514">
        <f>V17*C10/V63</f>
        <v>0.0101</v>
      </c>
    </row>
    <row r="18" spans="1:23" ht="12.75">
      <c r="A18" s="518">
        <v>100</v>
      </c>
      <c r="B18" s="519" t="s">
        <v>51</v>
      </c>
      <c r="C18" s="255">
        <v>72</v>
      </c>
      <c r="D18" s="486" t="s">
        <v>87</v>
      </c>
      <c r="E18" s="521" t="s">
        <v>88</v>
      </c>
      <c r="F18" s="521" t="s">
        <v>89</v>
      </c>
      <c r="G18" s="521" t="s">
        <v>90</v>
      </c>
      <c r="H18" s="522">
        <f>(+A18/C18)/100</f>
        <v>0.0138889</v>
      </c>
      <c r="I18" s="520">
        <f>I20-(M18*U18)</f>
        <v>51557.33</v>
      </c>
      <c r="J18" s="523">
        <f>(H18*I18)</f>
        <v>716.07</v>
      </c>
      <c r="K18" s="524">
        <f>J18/V63</f>
        <v>0.2077</v>
      </c>
      <c r="L18" s="432"/>
      <c r="M18" s="525">
        <v>4</v>
      </c>
      <c r="N18" s="486" t="s">
        <v>91</v>
      </c>
      <c r="O18" s="526">
        <v>100000</v>
      </c>
      <c r="P18" s="486" t="s">
        <v>63</v>
      </c>
      <c r="Q18" s="504" t="s">
        <v>92</v>
      </c>
      <c r="R18" s="464" t="s">
        <v>93</v>
      </c>
      <c r="S18" s="460"/>
      <c r="T18" s="511">
        <f>(+M18/O18)</f>
        <v>4E-05</v>
      </c>
      <c r="U18" s="255">
        <v>469</v>
      </c>
      <c r="V18" s="513">
        <f t="shared" si="0"/>
        <v>0.0188</v>
      </c>
      <c r="W18" s="514">
        <f>V18*C10/V63</f>
        <v>0.0098</v>
      </c>
    </row>
    <row r="19" spans="1:23" ht="12.75">
      <c r="A19" s="527">
        <f>A18</f>
        <v>100</v>
      </c>
      <c r="B19" s="486" t="s">
        <v>51</v>
      </c>
      <c r="C19" s="512">
        <f>C18</f>
        <v>72</v>
      </c>
      <c r="D19" s="486" t="s">
        <v>87</v>
      </c>
      <c r="E19" s="504" t="s">
        <v>88</v>
      </c>
      <c r="F19" s="504" t="s">
        <v>94</v>
      </c>
      <c r="G19" s="504" t="s">
        <v>95</v>
      </c>
      <c r="H19" s="511">
        <f>(+A19/C19)/100</f>
        <v>0.0138889</v>
      </c>
      <c r="I19" s="512">
        <f>I18*I8</f>
        <v>0</v>
      </c>
      <c r="J19" s="523">
        <f>(H19*I19)</f>
        <v>0</v>
      </c>
      <c r="K19" s="524" t="s">
        <v>96</v>
      </c>
      <c r="L19" s="432"/>
      <c r="M19" s="525">
        <v>1</v>
      </c>
      <c r="N19" s="486" t="s">
        <v>97</v>
      </c>
      <c r="O19" s="237">
        <v>9.5</v>
      </c>
      <c r="P19" s="486" t="s">
        <v>63</v>
      </c>
      <c r="Q19" s="504" t="s">
        <v>98</v>
      </c>
      <c r="R19" s="464" t="s">
        <v>99</v>
      </c>
      <c r="S19" s="460"/>
      <c r="T19" s="511">
        <f>(+M19/O19)</f>
        <v>0.1052632</v>
      </c>
      <c r="U19" s="255">
        <v>2.95</v>
      </c>
      <c r="V19" s="513">
        <f t="shared" si="0"/>
        <v>0.3105</v>
      </c>
      <c r="W19" s="514">
        <f>V19*C10/V63</f>
        <v>0.1621</v>
      </c>
    </row>
    <row r="20" spans="1:23" ht="12.75">
      <c r="A20" s="766">
        <v>18</v>
      </c>
      <c r="B20" s="519" t="s">
        <v>51</v>
      </c>
      <c r="C20" s="520">
        <v>12</v>
      </c>
      <c r="D20" s="486" t="s">
        <v>87</v>
      </c>
      <c r="E20" s="521" t="s">
        <v>88</v>
      </c>
      <c r="F20" s="521" t="s">
        <v>100</v>
      </c>
      <c r="G20" s="521" t="s">
        <v>101</v>
      </c>
      <c r="H20" s="522">
        <f>(+A20/C20)/100</f>
        <v>0.015</v>
      </c>
      <c r="I20" s="255">
        <f>(54900+50500+54900)/3</f>
        <v>53433.33</v>
      </c>
      <c r="J20" s="523">
        <f>(H20*I20)</f>
        <v>801.5</v>
      </c>
      <c r="K20" s="524">
        <f>J20/V63</f>
        <v>0.2325</v>
      </c>
      <c r="L20" s="432"/>
      <c r="M20" s="525">
        <v>6</v>
      </c>
      <c r="N20" s="486" t="s">
        <v>97</v>
      </c>
      <c r="O20" s="510">
        <v>7500</v>
      </c>
      <c r="P20" s="486" t="s">
        <v>63</v>
      </c>
      <c r="Q20" s="504" t="s">
        <v>102</v>
      </c>
      <c r="R20" s="505" t="s">
        <v>103</v>
      </c>
      <c r="S20" s="506"/>
      <c r="T20" s="511">
        <f>(+M20/O20)</f>
        <v>0.0008</v>
      </c>
      <c r="U20" s="255">
        <v>19</v>
      </c>
      <c r="V20" s="513">
        <f t="shared" si="0"/>
        <v>0.0152</v>
      </c>
      <c r="W20" s="514">
        <f>V20*C10/V63</f>
        <v>0.0079</v>
      </c>
    </row>
    <row r="21" spans="1:23" ht="12.75">
      <c r="A21" s="527">
        <f>A20</f>
        <v>18</v>
      </c>
      <c r="B21" s="486" t="s">
        <v>51</v>
      </c>
      <c r="C21" s="512">
        <f>C20</f>
        <v>12</v>
      </c>
      <c r="D21" s="486" t="s">
        <v>87</v>
      </c>
      <c r="E21" s="504" t="s">
        <v>88</v>
      </c>
      <c r="F21" s="504" t="s">
        <v>104</v>
      </c>
      <c r="G21" s="504" t="s">
        <v>105</v>
      </c>
      <c r="H21" s="511">
        <f>(+A21/C21)/100</f>
        <v>0.015</v>
      </c>
      <c r="I21" s="520">
        <f>I20*I8</f>
        <v>0</v>
      </c>
      <c r="J21" s="523">
        <f>(H21*I21)</f>
        <v>0</v>
      </c>
      <c r="K21" s="524" t="s">
        <v>96</v>
      </c>
      <c r="L21" s="432"/>
      <c r="M21" s="525">
        <v>8</v>
      </c>
      <c r="N21" s="486" t="s">
        <v>97</v>
      </c>
      <c r="O21" s="510">
        <v>30000</v>
      </c>
      <c r="P21" s="486" t="s">
        <v>63</v>
      </c>
      <c r="Q21" s="504" t="s">
        <v>106</v>
      </c>
      <c r="R21" s="505" t="s">
        <v>107</v>
      </c>
      <c r="S21" s="506"/>
      <c r="T21" s="511">
        <f>(+M21/O21)</f>
        <v>0.0002667</v>
      </c>
      <c r="U21" s="255">
        <v>22</v>
      </c>
      <c r="V21" s="513">
        <f t="shared" si="0"/>
        <v>0.0059</v>
      </c>
      <c r="W21" s="514">
        <f>V21*C10/V63</f>
        <v>0.0031</v>
      </c>
    </row>
    <row r="22" spans="1:26" ht="12.75">
      <c r="A22" s="527">
        <v>1</v>
      </c>
      <c r="B22" s="486" t="s">
        <v>108</v>
      </c>
      <c r="C22" s="512">
        <v>12</v>
      </c>
      <c r="D22" s="486" t="s">
        <v>87</v>
      </c>
      <c r="E22" s="504" t="s">
        <v>88</v>
      </c>
      <c r="F22" s="504" t="s">
        <v>109</v>
      </c>
      <c r="G22" s="504" t="s">
        <v>110</v>
      </c>
      <c r="H22" s="511">
        <f>A22/C22</f>
        <v>0.0833333</v>
      </c>
      <c r="I22" s="520">
        <v>78</v>
      </c>
      <c r="J22" s="528">
        <f>(I22*H22)</f>
        <v>6.5</v>
      </c>
      <c r="K22" s="524">
        <f>J22/V63</f>
        <v>0.0019</v>
      </c>
      <c r="L22" s="432"/>
      <c r="M22" s="525">
        <v>1</v>
      </c>
      <c r="N22" s="486" t="s">
        <v>91</v>
      </c>
      <c r="O22" s="510">
        <v>4000</v>
      </c>
      <c r="P22" s="486" t="s">
        <v>63</v>
      </c>
      <c r="Q22" s="504" t="s">
        <v>111</v>
      </c>
      <c r="R22" s="505" t="s">
        <v>112</v>
      </c>
      <c r="S22" s="506"/>
      <c r="T22" s="511">
        <f>(+M22/O22)</f>
        <v>0.00025</v>
      </c>
      <c r="U22" s="255">
        <v>100</v>
      </c>
      <c r="V22" s="513">
        <f t="shared" si="0"/>
        <v>0.025</v>
      </c>
      <c r="W22" s="514">
        <f>V22*C10/V63</f>
        <v>0.0131</v>
      </c>
      <c r="Z22" s="178"/>
    </row>
    <row r="23" spans="1:23" ht="12.75">
      <c r="A23" s="527">
        <v>1</v>
      </c>
      <c r="B23" s="486" t="s">
        <v>108</v>
      </c>
      <c r="C23" s="512">
        <v>12</v>
      </c>
      <c r="D23" s="486" t="s">
        <v>87</v>
      </c>
      <c r="E23" s="504" t="s">
        <v>88</v>
      </c>
      <c r="F23" s="504" t="s">
        <v>113</v>
      </c>
      <c r="G23" s="504" t="s">
        <v>114</v>
      </c>
      <c r="H23" s="511">
        <f>A23/C23</f>
        <v>0.0833333</v>
      </c>
      <c r="I23" s="520">
        <v>1200</v>
      </c>
      <c r="J23" s="528">
        <f>(I23*H23)</f>
        <v>100</v>
      </c>
      <c r="K23" s="524">
        <f>J23/V63</f>
        <v>0.029</v>
      </c>
      <c r="L23" s="432"/>
      <c r="M23" s="525"/>
      <c r="N23" s="499"/>
      <c r="O23" s="510"/>
      <c r="P23" s="499"/>
      <c r="Q23" s="499"/>
      <c r="R23" s="461"/>
      <c r="S23" s="506"/>
      <c r="T23" s="529"/>
      <c r="U23" s="512"/>
      <c r="V23" s="513"/>
      <c r="W23" s="497"/>
    </row>
    <row r="24" spans="1:23" ht="12.75">
      <c r="A24" s="527">
        <v>3</v>
      </c>
      <c r="B24" s="486" t="s">
        <v>115</v>
      </c>
      <c r="C24" s="512">
        <v>12</v>
      </c>
      <c r="D24" s="486" t="s">
        <v>87</v>
      </c>
      <c r="E24" s="504" t="s">
        <v>88</v>
      </c>
      <c r="F24" s="504" t="s">
        <v>116</v>
      </c>
      <c r="G24" s="504" t="s">
        <v>492</v>
      </c>
      <c r="H24" s="511">
        <f>1/12</f>
        <v>0.0833333</v>
      </c>
      <c r="I24" s="512">
        <f>(+I20*A24)/100</f>
        <v>1603</v>
      </c>
      <c r="J24" s="528">
        <f>(I24*H24)</f>
        <v>133.58</v>
      </c>
      <c r="K24" s="524">
        <f>J24/V63</f>
        <v>0.0388</v>
      </c>
      <c r="L24" s="432"/>
      <c r="M24" s="530"/>
      <c r="N24" s="493"/>
      <c r="O24" s="495"/>
      <c r="P24" s="493"/>
      <c r="Q24" s="531" t="s">
        <v>118</v>
      </c>
      <c r="R24" s="532" t="s">
        <v>119</v>
      </c>
      <c r="S24" s="533"/>
      <c r="T24" s="534"/>
      <c r="U24" s="535"/>
      <c r="V24" s="536">
        <f>SUM(V16:V22)</f>
        <v>0.5236</v>
      </c>
      <c r="W24" s="537">
        <f>V24*C10/V63</f>
        <v>0.2734</v>
      </c>
    </row>
    <row r="25" spans="1:23" ht="12.75">
      <c r="A25" s="538"/>
      <c r="B25" s="499"/>
      <c r="C25" s="512"/>
      <c r="D25" s="499"/>
      <c r="E25" s="499"/>
      <c r="F25" s="499"/>
      <c r="G25" s="499"/>
      <c r="H25" s="539"/>
      <c r="I25" s="529"/>
      <c r="J25" s="540"/>
      <c r="K25" s="465"/>
      <c r="L25" s="432"/>
      <c r="M25" s="503"/>
      <c r="N25" s="499"/>
      <c r="O25" s="499"/>
      <c r="P25" s="499"/>
      <c r="Q25" s="541"/>
      <c r="R25" s="506"/>
      <c r="S25" s="506"/>
      <c r="T25" s="499"/>
      <c r="U25" s="508"/>
      <c r="V25" s="542"/>
      <c r="W25" s="451"/>
    </row>
    <row r="26" spans="1:23" ht="12.75">
      <c r="A26" s="538"/>
      <c r="B26" s="499"/>
      <c r="C26" s="512"/>
      <c r="D26" s="499"/>
      <c r="E26" s="499"/>
      <c r="F26" s="504" t="s">
        <v>120</v>
      </c>
      <c r="G26" s="504" t="s">
        <v>121</v>
      </c>
      <c r="H26" s="539"/>
      <c r="I26" s="529"/>
      <c r="J26" s="528">
        <f>SUM(J18:J24)</f>
        <v>1757.65</v>
      </c>
      <c r="K26" s="543"/>
      <c r="L26" s="432"/>
      <c r="M26" s="544"/>
      <c r="N26" s="545"/>
      <c r="O26" s="545"/>
      <c r="P26" s="545"/>
      <c r="Q26" s="545"/>
      <c r="R26" s="546"/>
      <c r="S26" s="546"/>
      <c r="T26" s="545"/>
      <c r="U26" s="545"/>
      <c r="V26" s="547"/>
      <c r="W26" s="451"/>
    </row>
    <row r="27" spans="1:23" ht="12.75">
      <c r="A27" s="527">
        <v>100</v>
      </c>
      <c r="B27" s="486" t="s">
        <v>51</v>
      </c>
      <c r="C27" s="512">
        <v>1</v>
      </c>
      <c r="D27" s="486" t="s">
        <v>87</v>
      </c>
      <c r="E27" s="504" t="s">
        <v>88</v>
      </c>
      <c r="F27" s="499"/>
      <c r="G27" s="486" t="s">
        <v>122</v>
      </c>
      <c r="H27" s="548">
        <f>(+A27/C27)/100</f>
        <v>1</v>
      </c>
      <c r="I27" s="512"/>
      <c r="J27" s="528">
        <f>J26*H27</f>
        <v>1757.65</v>
      </c>
      <c r="K27" s="549">
        <f>J27/V63</f>
        <v>0.5099</v>
      </c>
      <c r="L27" s="432"/>
      <c r="M27" s="503"/>
      <c r="N27" s="499"/>
      <c r="O27" s="499"/>
      <c r="P27" s="499"/>
      <c r="Q27" s="499"/>
      <c r="R27" s="461"/>
      <c r="S27" s="461"/>
      <c r="T27" s="499"/>
      <c r="U27" s="508"/>
      <c r="V27" s="550"/>
      <c r="W27" s="451"/>
    </row>
    <row r="28" spans="1:23" ht="12.75">
      <c r="A28" s="538"/>
      <c r="B28" s="499"/>
      <c r="C28" s="512"/>
      <c r="D28" s="499"/>
      <c r="E28" s="499"/>
      <c r="F28" s="499"/>
      <c r="G28" s="499"/>
      <c r="H28" s="548"/>
      <c r="I28" s="512"/>
      <c r="J28" s="528"/>
      <c r="K28" s="543"/>
      <c r="L28" s="432"/>
      <c r="M28" s="492"/>
      <c r="N28" s="493"/>
      <c r="O28" s="493"/>
      <c r="P28" s="493"/>
      <c r="Q28" s="493"/>
      <c r="R28" s="474"/>
      <c r="S28" s="474"/>
      <c r="T28" s="493"/>
      <c r="U28" s="551"/>
      <c r="V28" s="552"/>
      <c r="W28" s="451"/>
    </row>
    <row r="29" spans="1:23" ht="12.75">
      <c r="A29" s="538"/>
      <c r="B29" s="499"/>
      <c r="C29" s="512"/>
      <c r="D29" s="499"/>
      <c r="E29" s="520"/>
      <c r="F29" s="521"/>
      <c r="G29" s="521"/>
      <c r="H29" s="553"/>
      <c r="I29" s="554"/>
      <c r="J29" s="523"/>
      <c r="K29" s="524"/>
      <c r="L29" s="432"/>
      <c r="M29" s="555"/>
      <c r="N29" s="461"/>
      <c r="O29" s="461"/>
      <c r="P29" s="461"/>
      <c r="Q29" s="461"/>
      <c r="R29" s="461"/>
      <c r="S29" s="461"/>
      <c r="T29" s="461"/>
      <c r="U29" s="475"/>
      <c r="V29" s="475"/>
      <c r="W29" s="451"/>
    </row>
    <row r="30" spans="1:23" ht="12.75">
      <c r="A30" s="518">
        <v>2</v>
      </c>
      <c r="B30" s="519" t="s">
        <v>123</v>
      </c>
      <c r="C30" s="526">
        <f>C10</f>
        <v>1800</v>
      </c>
      <c r="D30" s="519" t="s">
        <v>124</v>
      </c>
      <c r="E30" s="556">
        <f>(+C30*H30)</f>
        <v>36</v>
      </c>
      <c r="F30" s="521" t="s">
        <v>125</v>
      </c>
      <c r="G30" s="557" t="s">
        <v>336</v>
      </c>
      <c r="H30" s="553">
        <f>(+A30/100)</f>
        <v>0.02</v>
      </c>
      <c r="I30" s="558">
        <f>V24</f>
        <v>0.5236</v>
      </c>
      <c r="J30" s="523">
        <f>(+E30*I30)</f>
        <v>18.85</v>
      </c>
      <c r="K30" s="524">
        <f>J30/V63</f>
        <v>0.0055</v>
      </c>
      <c r="L30" s="432"/>
      <c r="M30" s="555"/>
      <c r="N30" s="461"/>
      <c r="O30" s="461"/>
      <c r="P30" s="461"/>
      <c r="Q30" s="461"/>
      <c r="R30" s="461"/>
      <c r="S30" s="461"/>
      <c r="T30" s="461"/>
      <c r="U30" s="475"/>
      <c r="V30" s="475"/>
      <c r="W30" s="451"/>
    </row>
    <row r="31" spans="1:23" ht="12.75">
      <c r="A31" s="527"/>
      <c r="B31" s="486"/>
      <c r="C31" s="512"/>
      <c r="D31" s="486"/>
      <c r="E31" s="526"/>
      <c r="F31" s="521"/>
      <c r="G31" s="521"/>
      <c r="H31" s="553"/>
      <c r="I31" s="554"/>
      <c r="J31" s="523"/>
      <c r="K31" s="524"/>
      <c r="L31" s="432"/>
      <c r="M31" s="555"/>
      <c r="N31" s="461"/>
      <c r="O31" s="461"/>
      <c r="P31" s="461"/>
      <c r="Q31" s="461"/>
      <c r="R31" s="461"/>
      <c r="S31" s="461"/>
      <c r="T31" s="461"/>
      <c r="U31" s="475"/>
      <c r="V31" s="475"/>
      <c r="W31" s="451"/>
    </row>
    <row r="32" spans="1:23" ht="12.75">
      <c r="A32" s="527"/>
      <c r="B32" s="486"/>
      <c r="C32" s="512"/>
      <c r="D32" s="486"/>
      <c r="E32" s="526"/>
      <c r="F32" s="521"/>
      <c r="G32" s="521"/>
      <c r="H32" s="553"/>
      <c r="I32" s="554"/>
      <c r="J32" s="523"/>
      <c r="K32" s="524"/>
      <c r="L32" s="432"/>
      <c r="M32" s="555"/>
      <c r="N32" s="461"/>
      <c r="O32" s="461"/>
      <c r="P32" s="461"/>
      <c r="Q32" s="461"/>
      <c r="R32" s="461"/>
      <c r="S32" s="461"/>
      <c r="T32" s="461"/>
      <c r="U32" s="475"/>
      <c r="V32" s="475"/>
      <c r="W32" s="451"/>
    </row>
    <row r="33" spans="1:23" ht="12.75">
      <c r="A33" s="525"/>
      <c r="B33" s="499"/>
      <c r="C33" s="512"/>
      <c r="D33" s="499"/>
      <c r="E33" s="499"/>
      <c r="F33" s="521" t="s">
        <v>132</v>
      </c>
      <c r="G33" s="499" t="s">
        <v>445</v>
      </c>
      <c r="H33" s="539"/>
      <c r="I33" s="508"/>
      <c r="J33" s="528">
        <f>SUM(J27:J32)</f>
        <v>1776.5</v>
      </c>
      <c r="K33" s="524"/>
      <c r="L33" s="432"/>
      <c r="M33" s="555"/>
      <c r="N33" s="461"/>
      <c r="O33" s="461"/>
      <c r="P33" s="461"/>
      <c r="Q33" s="461"/>
      <c r="R33" s="461"/>
      <c r="S33" s="461"/>
      <c r="T33" s="461"/>
      <c r="U33" s="475"/>
      <c r="V33" s="475"/>
      <c r="W33" s="451"/>
    </row>
    <row r="34" spans="1:23" ht="12.75">
      <c r="A34" s="525"/>
      <c r="B34" s="499"/>
      <c r="C34" s="512"/>
      <c r="D34" s="499"/>
      <c r="E34" s="639"/>
      <c r="F34" s="521"/>
      <c r="G34" s="521"/>
      <c r="H34" s="638"/>
      <c r="I34" s="644"/>
      <c r="J34" s="640"/>
      <c r="K34" s="524"/>
      <c r="L34" s="432"/>
      <c r="M34" s="449"/>
      <c r="N34" s="450"/>
      <c r="O34" s="450"/>
      <c r="P34" s="450"/>
      <c r="Q34" s="450"/>
      <c r="R34" s="450"/>
      <c r="S34" s="450"/>
      <c r="T34" s="450"/>
      <c r="U34" s="450"/>
      <c r="V34" s="450"/>
      <c r="W34" s="451"/>
    </row>
    <row r="35" spans="1:23" ht="12.75">
      <c r="A35" s="760">
        <v>2.5</v>
      </c>
      <c r="B35" s="519" t="s">
        <v>198</v>
      </c>
      <c r="C35" s="512"/>
      <c r="D35" s="486"/>
      <c r="E35" s="639"/>
      <c r="F35" s="521" t="s">
        <v>449</v>
      </c>
      <c r="G35" s="574" t="s">
        <v>448</v>
      </c>
      <c r="H35" s="539">
        <f>A35/100</f>
        <v>0.025</v>
      </c>
      <c r="I35" s="594">
        <f>J33</f>
        <v>1776.5</v>
      </c>
      <c r="J35" s="523">
        <f>H35*I35</f>
        <v>44.41</v>
      </c>
      <c r="K35" s="524">
        <f>J35/V63</f>
        <v>0.0129</v>
      </c>
      <c r="L35" s="432"/>
      <c r="M35" s="449"/>
      <c r="N35" s="450"/>
      <c r="O35" s="450"/>
      <c r="P35" s="450"/>
      <c r="Q35" s="450"/>
      <c r="R35" s="450"/>
      <c r="S35" s="450"/>
      <c r="T35" s="450"/>
      <c r="U35" s="450"/>
      <c r="V35" s="450"/>
      <c r="W35" s="451"/>
    </row>
    <row r="36" spans="1:23" ht="12.75">
      <c r="A36" s="525"/>
      <c r="B36" s="486"/>
      <c r="C36" s="512"/>
      <c r="D36" s="504"/>
      <c r="E36" s="486"/>
      <c r="F36" s="504"/>
      <c r="G36" s="504"/>
      <c r="H36" s="548"/>
      <c r="I36" s="512"/>
      <c r="J36" s="528"/>
      <c r="K36" s="524"/>
      <c r="L36" s="432"/>
      <c r="M36" s="559"/>
      <c r="N36" s="560"/>
      <c r="O36" s="560"/>
      <c r="P36" s="560"/>
      <c r="Q36" s="561"/>
      <c r="R36" s="560"/>
      <c r="S36" s="560"/>
      <c r="T36" s="560"/>
      <c r="U36" s="562"/>
      <c r="V36" s="560"/>
      <c r="W36" s="441"/>
    </row>
    <row r="37" spans="1:23" ht="20.25">
      <c r="A37" s="527"/>
      <c r="B37" s="486"/>
      <c r="C37" s="512"/>
      <c r="D37" s="486"/>
      <c r="E37" s="510"/>
      <c r="F37" s="504"/>
      <c r="G37" s="504"/>
      <c r="H37" s="548"/>
      <c r="I37" s="520"/>
      <c r="J37" s="528"/>
      <c r="K37" s="524"/>
      <c r="L37" s="432"/>
      <c r="M37" s="442" t="s">
        <v>127</v>
      </c>
      <c r="N37" s="443"/>
      <c r="O37" s="443"/>
      <c r="P37" s="443"/>
      <c r="Q37" s="443"/>
      <c r="R37" s="443"/>
      <c r="S37" s="443"/>
      <c r="T37" s="443"/>
      <c r="U37" s="443"/>
      <c r="V37" s="563"/>
      <c r="W37" s="441"/>
    </row>
    <row r="38" spans="1:23" ht="12.75">
      <c r="A38" s="527"/>
      <c r="B38" s="486"/>
      <c r="C38" s="512"/>
      <c r="D38" s="486"/>
      <c r="E38" s="510"/>
      <c r="F38" s="504"/>
      <c r="G38" s="504"/>
      <c r="H38" s="548"/>
      <c r="I38" s="520"/>
      <c r="J38" s="528"/>
      <c r="K38" s="524"/>
      <c r="L38" s="432"/>
      <c r="M38" s="564"/>
      <c r="N38" s="565"/>
      <c r="O38" s="565"/>
      <c r="P38" s="565"/>
      <c r="Q38" s="565"/>
      <c r="R38" s="565"/>
      <c r="S38" s="565"/>
      <c r="T38" s="565"/>
      <c r="U38" s="565"/>
      <c r="V38" s="565"/>
      <c r="W38" s="441"/>
    </row>
    <row r="39" spans="1:23" ht="12.75">
      <c r="A39" s="527"/>
      <c r="B39" s="486"/>
      <c r="C39" s="512"/>
      <c r="D39" s="486"/>
      <c r="E39" s="510"/>
      <c r="F39" s="504"/>
      <c r="G39" s="504"/>
      <c r="H39" s="548"/>
      <c r="I39" s="520"/>
      <c r="J39" s="528"/>
      <c r="K39" s="524"/>
      <c r="L39" s="432"/>
      <c r="M39" s="566"/>
      <c r="N39" s="454"/>
      <c r="O39" s="480"/>
      <c r="P39" s="480"/>
      <c r="Q39" s="480"/>
      <c r="R39" s="483"/>
      <c r="S39" s="481"/>
      <c r="T39" s="480"/>
      <c r="U39" s="482" t="s">
        <v>64</v>
      </c>
      <c r="V39" s="567"/>
      <c r="W39" s="441"/>
    </row>
    <row r="40" spans="1:23" ht="12.75">
      <c r="A40" s="527"/>
      <c r="B40" s="486"/>
      <c r="C40" s="512"/>
      <c r="D40" s="486"/>
      <c r="E40" s="510"/>
      <c r="F40" s="504"/>
      <c r="G40" s="504"/>
      <c r="H40" s="548"/>
      <c r="I40" s="520"/>
      <c r="J40" s="528"/>
      <c r="K40" s="524"/>
      <c r="L40" s="432"/>
      <c r="M40" s="555"/>
      <c r="N40" s="461"/>
      <c r="O40" s="499"/>
      <c r="P40" s="499"/>
      <c r="Q40" s="499"/>
      <c r="R40" s="507"/>
      <c r="S40" s="568"/>
      <c r="T40" s="499"/>
      <c r="U40" s="486" t="s">
        <v>72</v>
      </c>
      <c r="V40" s="550"/>
      <c r="W40" s="441"/>
    </row>
    <row r="41" spans="1:23" ht="12.75">
      <c r="A41" s="527"/>
      <c r="B41" s="486"/>
      <c r="C41" s="512"/>
      <c r="D41" s="486"/>
      <c r="E41" s="510"/>
      <c r="F41" s="504"/>
      <c r="G41" s="504"/>
      <c r="H41" s="548"/>
      <c r="I41" s="520"/>
      <c r="J41" s="528"/>
      <c r="K41" s="524"/>
      <c r="L41" s="432"/>
      <c r="M41" s="555"/>
      <c r="N41" s="461"/>
      <c r="O41" s="569" t="s">
        <v>75</v>
      </c>
      <c r="P41" s="486" t="s">
        <v>67</v>
      </c>
      <c r="Q41" s="569" t="s">
        <v>69</v>
      </c>
      <c r="R41" s="801" t="s">
        <v>128</v>
      </c>
      <c r="S41" s="802"/>
      <c r="T41" s="486" t="s">
        <v>71</v>
      </c>
      <c r="U41" s="529" t="s">
        <v>74</v>
      </c>
      <c r="V41" s="528" t="s">
        <v>129</v>
      </c>
      <c r="W41" s="441"/>
    </row>
    <row r="42" spans="1:23" ht="12.75">
      <c r="A42" s="503"/>
      <c r="B42" s="499"/>
      <c r="C42" s="529"/>
      <c r="D42" s="499"/>
      <c r="E42" s="499"/>
      <c r="F42" s="499"/>
      <c r="G42" s="499"/>
      <c r="H42" s="499"/>
      <c r="I42" s="529"/>
      <c r="J42" s="540"/>
      <c r="K42" s="524"/>
      <c r="L42" s="432"/>
      <c r="M42" s="555"/>
      <c r="N42" s="461"/>
      <c r="O42" s="499"/>
      <c r="P42" s="480"/>
      <c r="Q42" s="505" t="s">
        <v>130</v>
      </c>
      <c r="R42" s="532" t="s">
        <v>131</v>
      </c>
      <c r="S42" s="533"/>
      <c r="T42" s="534"/>
      <c r="U42" s="535"/>
      <c r="V42" s="570" t="s">
        <v>73</v>
      </c>
      <c r="W42" s="571"/>
    </row>
    <row r="43" spans="1:23" ht="12.75">
      <c r="A43" s="492"/>
      <c r="B43" s="493"/>
      <c r="C43" s="495"/>
      <c r="D43" s="493"/>
      <c r="E43" s="493"/>
      <c r="F43" s="531" t="s">
        <v>203</v>
      </c>
      <c r="G43" s="532" t="s">
        <v>450</v>
      </c>
      <c r="H43" s="572"/>
      <c r="I43" s="572"/>
      <c r="J43" s="573">
        <f>SUM(J33:J42)</f>
        <v>1820.91</v>
      </c>
      <c r="K43" s="549">
        <f>J43/V63</f>
        <v>0.5283</v>
      </c>
      <c r="L43" s="432"/>
      <c r="M43" s="555"/>
      <c r="N43" s="461"/>
      <c r="O43" s="499"/>
      <c r="P43" s="499"/>
      <c r="Q43" s="505" t="s">
        <v>133</v>
      </c>
      <c r="R43" s="574" t="s">
        <v>134</v>
      </c>
      <c r="S43" s="575"/>
      <c r="T43" s="529"/>
      <c r="U43" s="517">
        <f>V24</f>
        <v>0.5236</v>
      </c>
      <c r="V43" s="513">
        <f>$V$24</f>
        <v>0.5236</v>
      </c>
      <c r="W43" s="451"/>
    </row>
    <row r="44" spans="1:23" ht="12.75">
      <c r="A44" s="555"/>
      <c r="B44" s="461"/>
      <c r="C44" s="461"/>
      <c r="D44" s="461"/>
      <c r="E44" s="461"/>
      <c r="F44" s="505"/>
      <c r="G44" s="505"/>
      <c r="H44" s="505"/>
      <c r="I44" s="505"/>
      <c r="J44" s="475"/>
      <c r="K44" s="576"/>
      <c r="L44" s="432"/>
      <c r="M44" s="555"/>
      <c r="N44" s="461"/>
      <c r="O44" s="512"/>
      <c r="P44" s="486"/>
      <c r="Q44" s="505"/>
      <c r="R44" s="574"/>
      <c r="S44" s="575"/>
      <c r="T44" s="511"/>
      <c r="U44" s="529"/>
      <c r="V44" s="513"/>
      <c r="W44" s="514"/>
    </row>
    <row r="45" spans="1:23" ht="20.25">
      <c r="A45" s="577" t="s">
        <v>136</v>
      </c>
      <c r="B45" s="578"/>
      <c r="C45" s="578"/>
      <c r="D45" s="578"/>
      <c r="E45" s="578"/>
      <c r="F45" s="578"/>
      <c r="G45" s="578"/>
      <c r="H45" s="578"/>
      <c r="I45" s="578"/>
      <c r="J45" s="578"/>
      <c r="K45" s="543"/>
      <c r="L45" s="432"/>
      <c r="M45" s="555"/>
      <c r="N45" s="461"/>
      <c r="O45" s="512">
        <f>C52</f>
        <v>5.5</v>
      </c>
      <c r="P45" s="486" t="s">
        <v>51</v>
      </c>
      <c r="Q45" s="505" t="s">
        <v>135</v>
      </c>
      <c r="R45" s="574" t="s">
        <v>138</v>
      </c>
      <c r="S45" s="575"/>
      <c r="T45" s="511">
        <f>(+O45/100)</f>
        <v>0.055</v>
      </c>
      <c r="U45" s="529"/>
      <c r="V45" s="513">
        <f>(+V43*T45)</f>
        <v>0.0288</v>
      </c>
      <c r="W45" s="514">
        <f>V45*C10/V63</f>
        <v>0.015</v>
      </c>
    </row>
    <row r="46" spans="1:23" ht="20.25">
      <c r="A46" s="555"/>
      <c r="B46" s="461"/>
      <c r="C46" s="461"/>
      <c r="D46" s="461"/>
      <c r="E46" s="461"/>
      <c r="F46" s="461"/>
      <c r="G46" s="506"/>
      <c r="H46" s="461"/>
      <c r="I46" s="461"/>
      <c r="J46" s="461"/>
      <c r="K46" s="445"/>
      <c r="L46" s="432"/>
      <c r="M46" s="555"/>
      <c r="N46" s="461"/>
      <c r="O46" s="512" t="s">
        <v>139</v>
      </c>
      <c r="P46" s="499"/>
      <c r="Q46" s="505" t="s">
        <v>137</v>
      </c>
      <c r="R46" s="574" t="s">
        <v>418</v>
      </c>
      <c r="S46" s="575"/>
      <c r="T46" s="529"/>
      <c r="U46" s="529"/>
      <c r="V46" s="513">
        <f>SUM(V43:V45)</f>
        <v>0.5524</v>
      </c>
      <c r="W46" s="514"/>
    </row>
    <row r="47" spans="1:23" ht="12.75">
      <c r="A47" s="566"/>
      <c r="B47" s="481"/>
      <c r="C47" s="480"/>
      <c r="D47" s="480"/>
      <c r="E47" s="480"/>
      <c r="F47" s="579"/>
      <c r="G47" s="580"/>
      <c r="H47" s="489"/>
      <c r="I47" s="482" t="s">
        <v>64</v>
      </c>
      <c r="J47" s="483"/>
      <c r="K47" s="465"/>
      <c r="L47" s="432"/>
      <c r="M47" s="555"/>
      <c r="N47" s="461"/>
      <c r="O47" s="512">
        <f>C55</f>
        <v>0</v>
      </c>
      <c r="P47" s="486" t="s">
        <v>51</v>
      </c>
      <c r="Q47" s="505" t="s">
        <v>140</v>
      </c>
      <c r="R47" s="574" t="s">
        <v>142</v>
      </c>
      <c r="S47" s="575"/>
      <c r="T47" s="511">
        <f>(+O47/100)</f>
        <v>0</v>
      </c>
      <c r="U47" s="581">
        <f>V46</f>
        <v>0.5524</v>
      </c>
      <c r="V47" s="513">
        <f>(+V46*T47)</f>
        <v>0</v>
      </c>
      <c r="W47" s="514">
        <f>V47*C10/V63</f>
        <v>0</v>
      </c>
    </row>
    <row r="48" spans="1:23" ht="12.75">
      <c r="A48" s="555"/>
      <c r="B48" s="568"/>
      <c r="C48" s="486" t="s">
        <v>75</v>
      </c>
      <c r="D48" s="486" t="s">
        <v>67</v>
      </c>
      <c r="E48" s="486" t="s">
        <v>69</v>
      </c>
      <c r="F48" s="801" t="s">
        <v>70</v>
      </c>
      <c r="G48" s="802"/>
      <c r="H48" s="486" t="s">
        <v>71</v>
      </c>
      <c r="I48" s="486" t="s">
        <v>72</v>
      </c>
      <c r="J48" s="487" t="s">
        <v>73</v>
      </c>
      <c r="K48" s="465"/>
      <c r="L48" s="432"/>
      <c r="M48" s="555"/>
      <c r="N48" s="461"/>
      <c r="O48" s="512" t="s">
        <v>139</v>
      </c>
      <c r="P48" s="499"/>
      <c r="Q48" s="505" t="s">
        <v>141</v>
      </c>
      <c r="R48" s="574" t="s">
        <v>419</v>
      </c>
      <c r="S48" s="575"/>
      <c r="T48" s="529"/>
      <c r="U48" s="529"/>
      <c r="V48" s="513">
        <f>SUM(V46:V47)</f>
        <v>0.5524</v>
      </c>
      <c r="W48" s="514"/>
    </row>
    <row r="49" spans="1:23" ht="12.75">
      <c r="A49" s="555"/>
      <c r="B49" s="568"/>
      <c r="C49" s="493"/>
      <c r="D49" s="493"/>
      <c r="E49" s="493"/>
      <c r="F49" s="496"/>
      <c r="G49" s="474"/>
      <c r="H49" s="501"/>
      <c r="I49" s="495" t="s">
        <v>74</v>
      </c>
      <c r="J49" s="496"/>
      <c r="K49" s="582"/>
      <c r="L49" s="432"/>
      <c r="M49" s="555"/>
      <c r="N49" s="461"/>
      <c r="O49" s="512">
        <f>C58</f>
        <v>9</v>
      </c>
      <c r="P49" s="486" t="s">
        <v>51</v>
      </c>
      <c r="Q49" s="505" t="s">
        <v>143</v>
      </c>
      <c r="R49" s="574" t="s">
        <v>145</v>
      </c>
      <c r="S49" s="575"/>
      <c r="T49" s="511">
        <f>(+O49/100)</f>
        <v>0.09</v>
      </c>
      <c r="U49" s="581">
        <f>V48</f>
        <v>0.5524</v>
      </c>
      <c r="V49" s="513">
        <f>(+V48*T49)</f>
        <v>0.0497</v>
      </c>
      <c r="W49" s="514">
        <f>V49*C10/V63</f>
        <v>0.026</v>
      </c>
    </row>
    <row r="50" spans="1:23" ht="12.75">
      <c r="A50" s="555"/>
      <c r="B50" s="568"/>
      <c r="C50" s="499"/>
      <c r="D50" s="499"/>
      <c r="E50" s="504" t="s">
        <v>146</v>
      </c>
      <c r="F50" s="583" t="s">
        <v>176</v>
      </c>
      <c r="G50" s="454"/>
      <c r="H50" s="584"/>
      <c r="I50" s="512">
        <f>J43</f>
        <v>1820.91</v>
      </c>
      <c r="J50" s="585">
        <f>J43</f>
        <v>1820.91</v>
      </c>
      <c r="K50" s="465"/>
      <c r="L50" s="432"/>
      <c r="M50" s="555"/>
      <c r="N50" s="461"/>
      <c r="O50" s="512" t="s">
        <v>139</v>
      </c>
      <c r="P50" s="499"/>
      <c r="Q50" s="505" t="s">
        <v>144</v>
      </c>
      <c r="R50" s="574" t="s">
        <v>420</v>
      </c>
      <c r="S50" s="575"/>
      <c r="T50" s="529"/>
      <c r="U50" s="529"/>
      <c r="V50" s="513">
        <f>SUM(V48:V49)</f>
        <v>0.6021</v>
      </c>
      <c r="W50" s="514"/>
    </row>
    <row r="51" spans="1:23" ht="12.75">
      <c r="A51" s="555"/>
      <c r="B51" s="568"/>
      <c r="C51" s="705"/>
      <c r="D51" s="486"/>
      <c r="E51" s="504"/>
      <c r="F51" s="574"/>
      <c r="G51" s="575"/>
      <c r="H51" s="511"/>
      <c r="I51" s="529"/>
      <c r="J51" s="528"/>
      <c r="K51" s="524"/>
      <c r="L51" s="432"/>
      <c r="M51" s="555"/>
      <c r="N51" s="461"/>
      <c r="O51" s="512">
        <f>C61</f>
        <v>7.81</v>
      </c>
      <c r="P51" s="486" t="s">
        <v>51</v>
      </c>
      <c r="Q51" s="505" t="s">
        <v>150</v>
      </c>
      <c r="R51" s="574" t="s">
        <v>151</v>
      </c>
      <c r="S51" s="575"/>
      <c r="T51" s="511">
        <f>(+O51/100)</f>
        <v>0.0781</v>
      </c>
      <c r="U51" s="529"/>
      <c r="V51" s="513">
        <f>(+V53*T51)</f>
        <v>0.051</v>
      </c>
      <c r="W51" s="514">
        <f>V51*C10/V63</f>
        <v>0.0266</v>
      </c>
    </row>
    <row r="52" spans="1:23" ht="12.75">
      <c r="A52" s="555"/>
      <c r="B52" s="568"/>
      <c r="C52" s="237">
        <v>5.5</v>
      </c>
      <c r="D52" s="486" t="s">
        <v>51</v>
      </c>
      <c r="E52" s="504" t="s">
        <v>149</v>
      </c>
      <c r="F52" s="574" t="s">
        <v>138</v>
      </c>
      <c r="G52" s="575"/>
      <c r="H52" s="511">
        <f>(C52/100)</f>
        <v>0.055</v>
      </c>
      <c r="I52" s="529"/>
      <c r="J52" s="528">
        <f>(+J50*H52)</f>
        <v>100.15</v>
      </c>
      <c r="K52" s="524">
        <f>J52/V63</f>
        <v>0.0291</v>
      </c>
      <c r="L52" s="432"/>
      <c r="M52" s="555"/>
      <c r="N52" s="461"/>
      <c r="O52" s="512" t="s">
        <v>139</v>
      </c>
      <c r="P52" s="499"/>
      <c r="Q52" s="461"/>
      <c r="R52" s="507"/>
      <c r="S52" s="568"/>
      <c r="T52" s="529"/>
      <c r="U52" s="529"/>
      <c r="V52" s="513"/>
      <c r="W52" s="497"/>
    </row>
    <row r="53" spans="1:25" ht="12.75">
      <c r="A53" s="555"/>
      <c r="B53" s="568"/>
      <c r="C53" s="512" t="s">
        <v>139</v>
      </c>
      <c r="D53" s="499"/>
      <c r="E53" s="499"/>
      <c r="F53" s="507"/>
      <c r="G53" s="461"/>
      <c r="H53" s="511"/>
      <c r="I53" s="512"/>
      <c r="J53" s="528"/>
      <c r="K53" s="586"/>
      <c r="L53" s="432"/>
      <c r="M53" s="587"/>
      <c r="N53" s="474"/>
      <c r="O53" s="588" t="s">
        <v>139</v>
      </c>
      <c r="P53" s="493"/>
      <c r="Q53" s="589" t="s">
        <v>148</v>
      </c>
      <c r="R53" s="532" t="s">
        <v>153</v>
      </c>
      <c r="S53" s="535"/>
      <c r="T53" s="590"/>
      <c r="U53" s="534"/>
      <c r="V53" s="536">
        <f>V50/(1-T51)</f>
        <v>0.6531</v>
      </c>
      <c r="W53" s="591">
        <f>V53*C10/V63</f>
        <v>0.3411</v>
      </c>
      <c r="Y53" s="178"/>
    </row>
    <row r="54" spans="1:23" ht="12.75">
      <c r="A54" s="555"/>
      <c r="B54" s="568"/>
      <c r="C54" s="592"/>
      <c r="D54" s="499"/>
      <c r="E54" s="504" t="s">
        <v>152</v>
      </c>
      <c r="F54" s="574" t="s">
        <v>424</v>
      </c>
      <c r="G54" s="461"/>
      <c r="H54" s="511"/>
      <c r="I54" s="529"/>
      <c r="J54" s="528">
        <f>SUM(J50:J52)</f>
        <v>1921.06</v>
      </c>
      <c r="K54" s="524"/>
      <c r="L54" s="432"/>
      <c r="M54" s="593"/>
      <c r="N54" s="546"/>
      <c r="O54" s="546"/>
      <c r="P54" s="546"/>
      <c r="Q54" s="546"/>
      <c r="R54" s="546"/>
      <c r="S54" s="546"/>
      <c r="T54" s="546"/>
      <c r="U54" s="546"/>
      <c r="V54" s="546"/>
      <c r="W54" s="451"/>
    </row>
    <row r="55" spans="1:23" ht="12.75">
      <c r="A55" s="555"/>
      <c r="B55" s="568"/>
      <c r="C55" s="512">
        <v>0</v>
      </c>
      <c r="D55" s="486" t="s">
        <v>51</v>
      </c>
      <c r="E55" s="504" t="s">
        <v>154</v>
      </c>
      <c r="F55" s="574" t="s">
        <v>142</v>
      </c>
      <c r="G55" s="575"/>
      <c r="H55" s="511">
        <f>(C55/100)</f>
        <v>0</v>
      </c>
      <c r="I55" s="594">
        <f>J54</f>
        <v>1921.06</v>
      </c>
      <c r="J55" s="528">
        <f>(+J54*H55)</f>
        <v>0</v>
      </c>
      <c r="K55" s="524">
        <f>J55/V63</f>
        <v>0</v>
      </c>
      <c r="L55" s="432"/>
      <c r="M55" s="555"/>
      <c r="N55" s="461"/>
      <c r="O55" s="461"/>
      <c r="P55" s="461"/>
      <c r="Q55" s="461"/>
      <c r="R55" s="461"/>
      <c r="S55" s="461"/>
      <c r="T55" s="461"/>
      <c r="U55" s="461"/>
      <c r="V55" s="461"/>
      <c r="W55" s="451"/>
    </row>
    <row r="56" spans="1:23" ht="13.5" thickBot="1">
      <c r="A56" s="555"/>
      <c r="B56" s="568"/>
      <c r="C56" s="512" t="s">
        <v>139</v>
      </c>
      <c r="D56" s="499"/>
      <c r="E56" s="499"/>
      <c r="F56" s="507"/>
      <c r="G56" s="461"/>
      <c r="H56" s="511"/>
      <c r="I56" s="512"/>
      <c r="J56" s="528"/>
      <c r="K56" s="586"/>
      <c r="L56" s="432"/>
      <c r="M56" s="555"/>
      <c r="N56" s="461"/>
      <c r="O56" s="461"/>
      <c r="P56" s="461"/>
      <c r="Q56" s="461"/>
      <c r="R56" s="461"/>
      <c r="S56" s="461"/>
      <c r="T56" s="461"/>
      <c r="U56" s="461"/>
      <c r="V56" s="461"/>
      <c r="W56" s="451"/>
    </row>
    <row r="57" spans="1:23" ht="20.25">
      <c r="A57" s="555"/>
      <c r="B57" s="568"/>
      <c r="C57" s="512" t="s">
        <v>139</v>
      </c>
      <c r="D57" s="499"/>
      <c r="E57" s="504" t="s">
        <v>155</v>
      </c>
      <c r="F57" s="574" t="s">
        <v>425</v>
      </c>
      <c r="G57" s="461"/>
      <c r="H57" s="511"/>
      <c r="I57" s="529"/>
      <c r="J57" s="528">
        <f>SUM(J54:J55)</f>
        <v>1921.06</v>
      </c>
      <c r="K57" s="586"/>
      <c r="L57" s="432"/>
      <c r="M57" s="555"/>
      <c r="N57" s="461"/>
      <c r="O57" s="461"/>
      <c r="P57" s="461"/>
      <c r="Q57" s="595" t="s">
        <v>157</v>
      </c>
      <c r="R57" s="596"/>
      <c r="S57" s="596"/>
      <c r="T57" s="596"/>
      <c r="U57" s="596"/>
      <c r="V57" s="596"/>
      <c r="W57" s="451"/>
    </row>
    <row r="58" spans="1:23" ht="13.5" thickBot="1">
      <c r="A58" s="555"/>
      <c r="B58" s="568"/>
      <c r="C58" s="237">
        <v>9</v>
      </c>
      <c r="D58" s="486" t="s">
        <v>51</v>
      </c>
      <c r="E58" s="504" t="s">
        <v>156</v>
      </c>
      <c r="F58" s="574" t="s">
        <v>428</v>
      </c>
      <c r="G58" s="575"/>
      <c r="H58" s="511">
        <f>(C58/100)</f>
        <v>0.09</v>
      </c>
      <c r="I58" s="594">
        <f>J57</f>
        <v>1921.06</v>
      </c>
      <c r="J58" s="528">
        <f>(+J57*H58)</f>
        <v>172.9</v>
      </c>
      <c r="K58" s="524">
        <f>J58/V63</f>
        <v>0.0502</v>
      </c>
      <c r="L58" s="432"/>
      <c r="M58" s="555"/>
      <c r="N58" s="461"/>
      <c r="O58" s="461"/>
      <c r="P58" s="461"/>
      <c r="Q58" s="597"/>
      <c r="R58" s="598"/>
      <c r="S58" s="598"/>
      <c r="T58" s="598"/>
      <c r="U58" s="598"/>
      <c r="V58" s="598"/>
      <c r="W58" s="451"/>
    </row>
    <row r="59" spans="1:23" ht="13.5" thickBot="1">
      <c r="A59" s="555"/>
      <c r="B59" s="568"/>
      <c r="C59" s="512" t="s">
        <v>139</v>
      </c>
      <c r="D59" s="499"/>
      <c r="E59" s="499"/>
      <c r="F59" s="507"/>
      <c r="G59" s="461"/>
      <c r="H59" s="511"/>
      <c r="I59" s="529"/>
      <c r="J59" s="528"/>
      <c r="K59" s="586"/>
      <c r="L59" s="432"/>
      <c r="M59" s="555"/>
      <c r="N59" s="461"/>
      <c r="O59" s="461"/>
      <c r="P59" s="461"/>
      <c r="Q59" s="729" t="s">
        <v>422</v>
      </c>
      <c r="R59" s="599" t="s">
        <v>431</v>
      </c>
      <c r="S59" s="600"/>
      <c r="T59" s="600"/>
      <c r="U59" s="600"/>
      <c r="V59" s="601">
        <f>C10*V53</f>
        <v>1175.58</v>
      </c>
      <c r="W59" s="602">
        <f>V59/V63</f>
        <v>0.3411</v>
      </c>
    </row>
    <row r="60" spans="1:23" ht="13.5" thickBot="1">
      <c r="A60" s="555"/>
      <c r="B60" s="568"/>
      <c r="C60" s="512" t="s">
        <v>139</v>
      </c>
      <c r="D60" s="499"/>
      <c r="E60" s="504" t="s">
        <v>158</v>
      </c>
      <c r="F60" s="574" t="s">
        <v>429</v>
      </c>
      <c r="G60" s="461"/>
      <c r="H60" s="511"/>
      <c r="I60" s="529"/>
      <c r="J60" s="528">
        <f>SUM(J57:J58)</f>
        <v>2093.96</v>
      </c>
      <c r="K60" s="586"/>
      <c r="L60" s="432"/>
      <c r="M60" s="555"/>
      <c r="N60" s="461"/>
      <c r="O60" s="461"/>
      <c r="P60" s="461"/>
      <c r="Q60" s="730" t="s">
        <v>159</v>
      </c>
      <c r="R60" s="505" t="s">
        <v>164</v>
      </c>
      <c r="S60" s="461"/>
      <c r="T60" s="461"/>
      <c r="U60" s="505"/>
      <c r="V60" s="475">
        <f>J63</f>
        <v>2271.35</v>
      </c>
      <c r="W60" s="602">
        <f>V60/V63</f>
        <v>0.6589</v>
      </c>
    </row>
    <row r="61" spans="1:23" ht="12.75">
      <c r="A61" s="555"/>
      <c r="B61" s="568"/>
      <c r="C61" s="255">
        <f>(15%*C58)+(9%*C58)+3.65+2</f>
        <v>7.81</v>
      </c>
      <c r="D61" s="486" t="s">
        <v>51</v>
      </c>
      <c r="E61" s="504" t="s">
        <v>165</v>
      </c>
      <c r="F61" s="574" t="s">
        <v>151</v>
      </c>
      <c r="G61" s="575"/>
      <c r="H61" s="511">
        <f>(C61/100)</f>
        <v>0.0781</v>
      </c>
      <c r="I61" s="529"/>
      <c r="J61" s="528">
        <f>(+J63*H61)</f>
        <v>177.39</v>
      </c>
      <c r="K61" s="524">
        <f>J61/V63</f>
        <v>0.0515</v>
      </c>
      <c r="L61" s="432"/>
      <c r="M61" s="555"/>
      <c r="N61" s="461"/>
      <c r="O61" s="461"/>
      <c r="P61" s="461"/>
      <c r="Q61" s="603"/>
      <c r="R61" s="604"/>
      <c r="S61" s="605"/>
      <c r="T61" s="605"/>
      <c r="U61" s="604"/>
      <c r="V61" s="606"/>
      <c r="W61" s="451"/>
    </row>
    <row r="62" spans="1:23" ht="13.5" thickBot="1">
      <c r="A62" s="555"/>
      <c r="B62" s="568"/>
      <c r="C62" s="512" t="s">
        <v>139</v>
      </c>
      <c r="D62" s="499"/>
      <c r="E62" s="499"/>
      <c r="F62" s="507"/>
      <c r="G62" s="461"/>
      <c r="H62" s="529"/>
      <c r="I62" s="529"/>
      <c r="J62" s="528"/>
      <c r="K62" s="586"/>
      <c r="L62" s="432"/>
      <c r="M62" s="555"/>
      <c r="N62" s="461"/>
      <c r="O62" s="461"/>
      <c r="P62" s="461"/>
      <c r="Q62" s="607"/>
      <c r="R62" s="458"/>
      <c r="S62" s="458"/>
      <c r="T62" s="458"/>
      <c r="U62" s="458"/>
      <c r="V62" s="460"/>
      <c r="W62" s="608"/>
    </row>
    <row r="63" spans="1:23" ht="13.5" thickBot="1">
      <c r="A63" s="609"/>
      <c r="B63" s="610"/>
      <c r="C63" s="611" t="s">
        <v>139</v>
      </c>
      <c r="D63" s="612"/>
      <c r="E63" s="613" t="s">
        <v>161</v>
      </c>
      <c r="F63" s="614" t="s">
        <v>426</v>
      </c>
      <c r="G63" s="615"/>
      <c r="H63" s="615"/>
      <c r="I63" s="615"/>
      <c r="J63" s="616">
        <f>J60/(1-H61)</f>
        <v>2271.35</v>
      </c>
      <c r="K63" s="617">
        <f>J63/V63</f>
        <v>0.6589</v>
      </c>
      <c r="L63" s="432"/>
      <c r="M63" s="609"/>
      <c r="N63" s="618"/>
      <c r="O63" s="618"/>
      <c r="P63" s="618"/>
      <c r="Q63" s="619" t="s">
        <v>163</v>
      </c>
      <c r="R63" s="620" t="s">
        <v>423</v>
      </c>
      <c r="S63" s="621"/>
      <c r="T63" s="621"/>
      <c r="U63" s="620"/>
      <c r="V63" s="622">
        <f>V59+J63</f>
        <v>3446.93</v>
      </c>
      <c r="W63" s="623">
        <f>SUM(W59:W62)</f>
        <v>1</v>
      </c>
    </row>
    <row r="65" ht="15.75">
      <c r="A65" s="69" t="s">
        <v>169</v>
      </c>
    </row>
    <row r="67" spans="1:19" ht="15.75">
      <c r="A67" s="69" t="str">
        <f>'Trator de Esteira'!A61</f>
        <v>Patos de Minas-MG, 16 de Novembro de 2015.</v>
      </c>
      <c r="G67" s="13"/>
      <c r="M67" s="11"/>
      <c r="S67" s="13"/>
    </row>
    <row r="68" spans="7:19" ht="15">
      <c r="G68" s="11"/>
      <c r="H68" s="11"/>
      <c r="I68" s="11"/>
      <c r="S68" s="11"/>
    </row>
    <row r="69" spans="1:10" ht="12">
      <c r="A69" s="275"/>
      <c r="B69" s="275"/>
      <c r="C69" s="275"/>
      <c r="D69" s="275"/>
      <c r="E69" s="275"/>
      <c r="F69" s="275"/>
      <c r="G69" s="275"/>
      <c r="H69" s="275"/>
      <c r="I69" s="275"/>
      <c r="J69" s="275"/>
    </row>
    <row r="93" ht="2.25" customHeight="1"/>
    <row r="94" ht="12.75" customHeight="1"/>
    <row r="95" ht="0.75" customHeight="1"/>
    <row r="120" spans="12:15" ht="12.75">
      <c r="L120" s="276"/>
      <c r="M120" s="277"/>
      <c r="N120" s="276"/>
      <c r="O120" s="277"/>
    </row>
    <row r="121" spans="12:15" ht="12.75">
      <c r="L121" s="276"/>
      <c r="M121" s="276"/>
      <c r="N121" s="276"/>
      <c r="O121" s="278"/>
    </row>
    <row r="122" spans="12:15" ht="12.75">
      <c r="L122" s="276"/>
      <c r="M122" s="276"/>
      <c r="N122" s="276"/>
      <c r="O122" s="278"/>
    </row>
    <row r="123" spans="12:15" ht="12.75">
      <c r="L123" s="276"/>
      <c r="M123" s="276"/>
      <c r="N123" s="276"/>
      <c r="O123" s="278"/>
    </row>
    <row r="124" spans="12:15" ht="12.75">
      <c r="L124" s="2"/>
      <c r="M124" s="2"/>
      <c r="N124" s="2"/>
      <c r="O124" s="279"/>
    </row>
    <row r="125" spans="1:11" ht="12.75">
      <c r="A125" s="276"/>
      <c r="B125" s="276"/>
      <c r="C125" s="276"/>
      <c r="D125" s="276"/>
      <c r="E125" s="280"/>
      <c r="F125" s="280"/>
      <c r="G125" s="280"/>
      <c r="H125" s="280"/>
      <c r="I125" s="280"/>
      <c r="J125" s="280"/>
      <c r="K125" s="280"/>
    </row>
    <row r="126" spans="1:12" ht="12.75">
      <c r="A126" s="276"/>
      <c r="B126" s="276"/>
      <c r="C126" s="276"/>
      <c r="D126" s="276"/>
      <c r="E126" s="276"/>
      <c r="F126" s="276"/>
      <c r="G126" s="276"/>
      <c r="H126" s="276"/>
      <c r="I126" s="276"/>
      <c r="J126" s="281"/>
      <c r="K126" s="281"/>
      <c r="L126" s="178"/>
    </row>
    <row r="127" spans="1:11" ht="12.7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</row>
    <row r="128" spans="1:11" ht="12.7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</row>
    <row r="129" spans="1:11" ht="12.7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</row>
    <row r="130" spans="1:11" ht="12.7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</row>
    <row r="131" spans="1:12" ht="12.75">
      <c r="A131" s="2"/>
      <c r="B131" s="2"/>
      <c r="C131" s="2"/>
      <c r="D131" s="2"/>
      <c r="E131" s="282"/>
      <c r="F131" s="2"/>
      <c r="G131" s="2"/>
      <c r="H131" s="2"/>
      <c r="I131" s="2"/>
      <c r="J131" s="2"/>
      <c r="K131" s="2"/>
      <c r="L131" s="4"/>
    </row>
    <row r="132" spans="1:12" ht="12.75">
      <c r="A132" s="2"/>
      <c r="B132" s="2"/>
      <c r="C132" s="2"/>
      <c r="D132" s="2"/>
      <c r="E132" s="283"/>
      <c r="F132" s="283"/>
      <c r="G132" s="283"/>
      <c r="H132" s="283"/>
      <c r="I132" s="2"/>
      <c r="J132" s="2"/>
      <c r="K132" s="2"/>
      <c r="L132" s="4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83"/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4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5"/>
      <c r="C137" s="2"/>
      <c r="D137" s="279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5"/>
      <c r="C140" s="2"/>
      <c r="D140" s="279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1:12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">
      <c r="A143" s="4"/>
      <c r="B143" s="6"/>
      <c r="C143" s="4"/>
      <c r="D143" s="284"/>
      <c r="E143" s="4"/>
      <c r="F143" s="4"/>
      <c r="G143" s="4"/>
      <c r="H143" s="4"/>
      <c r="I143" s="4"/>
      <c r="J143" s="4"/>
      <c r="K143" s="4"/>
      <c r="L143" s="4"/>
    </row>
    <row r="144" spans="1:12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4"/>
    </row>
    <row r="147" spans="1:12" ht="12">
      <c r="A147" s="4"/>
      <c r="B147" s="4"/>
      <c r="C147" s="6"/>
      <c r="D147" s="4"/>
      <c r="E147" s="4"/>
      <c r="F147" s="4"/>
      <c r="G147" s="285"/>
      <c r="H147" s="285"/>
      <c r="L147" s="4"/>
    </row>
    <row r="148" spans="1:12" ht="12">
      <c r="A148" s="7"/>
      <c r="B148" s="7"/>
      <c r="C148" s="7"/>
      <c r="D148" s="7"/>
      <c r="E148" s="7"/>
      <c r="F148" s="7"/>
      <c r="G148" s="7"/>
      <c r="H148" s="7"/>
      <c r="L148" s="4"/>
    </row>
    <row r="149" spans="1:12" ht="12">
      <c r="A149" s="4"/>
      <c r="B149" s="4"/>
      <c r="C149" s="4"/>
      <c r="D149" s="4"/>
      <c r="E149" s="4"/>
      <c r="F149" s="4"/>
      <c r="G149" s="4"/>
      <c r="H149" s="4"/>
      <c r="L149" s="4"/>
    </row>
    <row r="150" spans="1:12" ht="12">
      <c r="A150" s="4"/>
      <c r="B150" s="4"/>
      <c r="C150" s="4"/>
      <c r="D150" s="4"/>
      <c r="E150" s="4"/>
      <c r="F150" s="4"/>
      <c r="G150" s="4"/>
      <c r="H150" s="4"/>
      <c r="L150" s="4"/>
    </row>
    <row r="151" spans="2:12" ht="12">
      <c r="B151" s="286"/>
      <c r="C151" s="287"/>
      <c r="G151" s="288"/>
      <c r="H151" s="287"/>
      <c r="L151" s="4"/>
    </row>
    <row r="152" spans="7:12" ht="12">
      <c r="G152" s="289"/>
      <c r="L152" s="4"/>
    </row>
    <row r="153" spans="7:12" ht="12">
      <c r="G153" s="289"/>
      <c r="L153" s="4"/>
    </row>
    <row r="154" spans="2:12" ht="12">
      <c r="B154" s="286"/>
      <c r="C154" s="287"/>
      <c r="G154" s="288"/>
      <c r="H154" s="287"/>
      <c r="L154" s="4"/>
    </row>
    <row r="155" spans="7:12" ht="12">
      <c r="G155" s="29"/>
      <c r="L155" s="4"/>
    </row>
    <row r="156" spans="7:12" ht="12">
      <c r="G156" s="29"/>
      <c r="L156" s="4"/>
    </row>
    <row r="157" spans="2:12" ht="12">
      <c r="B157" s="3"/>
      <c r="C157" s="290"/>
      <c r="G157" s="288"/>
      <c r="H157" s="287"/>
      <c r="L157" s="4"/>
    </row>
    <row r="158" spans="7:12" ht="12">
      <c r="G158" s="29"/>
      <c r="L158" s="4"/>
    </row>
    <row r="159" spans="7:12" ht="12">
      <c r="G159" s="29"/>
      <c r="L159" s="4"/>
    </row>
    <row r="160" spans="2:12" ht="12">
      <c r="B160" s="3"/>
      <c r="C160" s="291"/>
      <c r="G160" s="288"/>
      <c r="H160" s="292"/>
      <c r="L160" s="4"/>
    </row>
    <row r="161" spans="10:12" ht="12">
      <c r="J161" s="4"/>
      <c r="K161" s="4"/>
      <c r="L161" s="4"/>
    </row>
    <row r="162" spans="1:12" ht="12">
      <c r="A162" s="293"/>
      <c r="B162" s="293"/>
      <c r="C162" s="293"/>
      <c r="D162" s="293"/>
      <c r="E162" s="293"/>
      <c r="F162" s="293"/>
      <c r="G162" s="293"/>
      <c r="H162" s="293"/>
      <c r="I162" s="293"/>
      <c r="J162" s="7"/>
      <c r="K162" s="7"/>
      <c r="L162" s="4"/>
    </row>
    <row r="163" spans="10:12" ht="12">
      <c r="J163" s="4"/>
      <c r="K163" s="4"/>
      <c r="L163" s="4"/>
    </row>
    <row r="164" spans="2:12" ht="12">
      <c r="B164" s="286"/>
      <c r="D164" s="292"/>
      <c r="J164" s="4"/>
      <c r="K164" s="4"/>
      <c r="L164" s="4"/>
    </row>
    <row r="165" spans="10:12" ht="12">
      <c r="J165" s="4"/>
      <c r="K165" s="4"/>
      <c r="L165" s="4"/>
    </row>
    <row r="166" spans="1:12" ht="12">
      <c r="A166" s="293"/>
      <c r="B166" s="293"/>
      <c r="C166" s="293"/>
      <c r="D166" s="293"/>
      <c r="E166" s="293"/>
      <c r="F166" s="293"/>
      <c r="G166" s="293"/>
      <c r="H166" s="293"/>
      <c r="I166" s="293"/>
      <c r="J166" s="7"/>
      <c r="K166" s="7"/>
      <c r="L166" s="4"/>
    </row>
    <row r="167" spans="1:12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</sheetData>
  <sheetProtection password="F184" sheet="1"/>
  <mergeCells count="6">
    <mergeCell ref="R41:S41"/>
    <mergeCell ref="F48:G48"/>
    <mergeCell ref="A1:K1"/>
    <mergeCell ref="M1:W1"/>
    <mergeCell ref="A5:J5"/>
    <mergeCell ref="R11:S11"/>
  </mergeCells>
  <printOptions horizontalCentered="1"/>
  <pageMargins left="0" right="0" top="0.5905511811023623" bottom="0.1968503937007874" header="0.31496062992125984" footer="0.31496062992125984"/>
  <pageSetup horizontalDpi="600" verticalDpi="600" orientation="landscape" paperSize="9" scale="50" r:id="rId1"/>
  <headerFooter alignWithMargins="0">
    <oddHeader>&amp;CPágina &amp;P de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69"/>
  <sheetViews>
    <sheetView workbookViewId="0" topLeftCell="L8">
      <selection activeCell="N36" sqref="N36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2" width="11.00390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817" t="s">
        <v>312</v>
      </c>
      <c r="B1" s="818"/>
      <c r="C1" s="818"/>
      <c r="D1" s="818"/>
      <c r="E1" s="818"/>
      <c r="F1" s="818"/>
      <c r="G1" s="818"/>
      <c r="H1" s="818"/>
      <c r="I1" s="818"/>
      <c r="J1" s="818"/>
      <c r="K1" s="819"/>
      <c r="L1" s="84"/>
      <c r="M1" s="820" t="str">
        <f>A1</f>
        <v>CUSTO     OPERACIONAL     DE     MÁQUINA </v>
      </c>
      <c r="N1" s="821"/>
      <c r="O1" s="821"/>
      <c r="P1" s="821"/>
      <c r="Q1" s="821"/>
      <c r="R1" s="821"/>
      <c r="S1" s="821"/>
      <c r="T1" s="821"/>
      <c r="U1" s="821"/>
      <c r="V1" s="821"/>
      <c r="W1" s="822"/>
    </row>
    <row r="2" spans="1:23" ht="20.25">
      <c r="A2" s="90" t="s">
        <v>313</v>
      </c>
      <c r="B2" s="91"/>
      <c r="C2" s="370"/>
      <c r="D2" s="91"/>
      <c r="E2" s="91"/>
      <c r="F2" s="91"/>
      <c r="G2" s="92"/>
      <c r="H2" s="91"/>
      <c r="I2" s="91"/>
      <c r="J2" s="91"/>
      <c r="K2" s="412"/>
      <c r="L2" s="84"/>
      <c r="M2" s="413" t="str">
        <f>A2</f>
        <v>DEMONSTRATIVO DE CUSTO OPERACIONAL UNITÁRIO DE  RETRO  ESCAVADEIRA</v>
      </c>
      <c r="N2" s="91"/>
      <c r="O2" s="91"/>
      <c r="P2" s="91"/>
      <c r="Q2" s="91"/>
      <c r="R2" s="91"/>
      <c r="S2" s="92"/>
      <c r="T2" s="91"/>
      <c r="U2" s="91"/>
      <c r="V2" s="91"/>
      <c r="W2" s="93"/>
    </row>
    <row r="3" spans="1:23" ht="21" thickBot="1">
      <c r="A3" s="94" t="s">
        <v>314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  <c r="L3" s="84"/>
      <c r="M3" s="98" t="s">
        <v>52</v>
      </c>
      <c r="N3" s="99"/>
      <c r="O3" s="99"/>
      <c r="P3" s="99"/>
      <c r="Q3" s="99"/>
      <c r="R3" s="99"/>
      <c r="S3" s="99"/>
      <c r="T3" s="99"/>
      <c r="U3" s="99"/>
      <c r="V3" s="99"/>
      <c r="W3" s="100" t="s">
        <v>51</v>
      </c>
    </row>
    <row r="4" spans="1:23" ht="12.7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84"/>
      <c r="M4" s="104" t="str">
        <f>A6</f>
        <v>Descrição do Veiculo: Retro  Escavadeira  CASE  580  ou similar</v>
      </c>
      <c r="N4" s="105"/>
      <c r="O4" s="105"/>
      <c r="P4" s="105"/>
      <c r="Q4" s="105"/>
      <c r="R4" s="105"/>
      <c r="S4" s="105"/>
      <c r="T4" s="105"/>
      <c r="U4" s="105"/>
      <c r="V4" s="105"/>
      <c r="W4" s="107"/>
    </row>
    <row r="5" spans="1:23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  <c r="L5" s="84"/>
      <c r="M5" s="109" t="str">
        <f>A7</f>
        <v>Ano de Fabricação: 2000</v>
      </c>
      <c r="N5" s="110"/>
      <c r="O5" s="110"/>
      <c r="P5" s="111"/>
      <c r="Q5" s="112"/>
      <c r="R5" s="110"/>
      <c r="S5" s="110"/>
      <c r="T5" s="110"/>
      <c r="U5" s="110"/>
      <c r="V5" s="110"/>
      <c r="W5" s="103"/>
    </row>
    <row r="6" spans="1:23" ht="12.75">
      <c r="A6" s="104" t="s">
        <v>315</v>
      </c>
      <c r="B6" s="105"/>
      <c r="C6" s="105"/>
      <c r="D6" s="105"/>
      <c r="E6" s="114"/>
      <c r="F6" s="105"/>
      <c r="G6" s="105"/>
      <c r="H6" s="105"/>
      <c r="I6" s="105"/>
      <c r="J6" s="105"/>
      <c r="K6" s="115"/>
      <c r="L6" s="84"/>
      <c r="M6" s="109" t="str">
        <f>A8</f>
        <v>Tipo de Combustível: Diesel</v>
      </c>
      <c r="N6" s="110"/>
      <c r="O6" s="110"/>
      <c r="P6" s="110"/>
      <c r="Q6" s="116"/>
      <c r="R6" s="110"/>
      <c r="S6" s="110"/>
      <c r="T6" s="110"/>
      <c r="U6" s="110"/>
      <c r="V6" s="110"/>
      <c r="W6" s="103"/>
    </row>
    <row r="7" spans="1:23" ht="12.75">
      <c r="A7" s="109" t="s">
        <v>316</v>
      </c>
      <c r="B7" s="110"/>
      <c r="C7" s="110"/>
      <c r="D7" s="110"/>
      <c r="E7" s="110"/>
      <c r="F7" s="110"/>
      <c r="G7" s="110"/>
      <c r="H7" s="110"/>
      <c r="I7" s="110"/>
      <c r="J7" s="110"/>
      <c r="K7" s="117"/>
      <c r="L7" s="84"/>
      <c r="M7" s="109" t="str">
        <f>A9</f>
        <v>Hs  Estimada: </v>
      </c>
      <c r="N7" s="110"/>
      <c r="O7" s="414">
        <f>C9</f>
        <v>200</v>
      </c>
      <c r="P7" s="110" t="str">
        <f>D9</f>
        <v>Hs / mês</v>
      </c>
      <c r="Q7" s="110"/>
      <c r="R7" s="110"/>
      <c r="S7" s="110"/>
      <c r="T7" s="110"/>
      <c r="U7" s="110"/>
      <c r="V7" s="110"/>
      <c r="W7" s="103"/>
    </row>
    <row r="8" spans="1:23" ht="12.75">
      <c r="A8" s="109" t="s">
        <v>56</v>
      </c>
      <c r="B8" s="110"/>
      <c r="C8" s="110"/>
      <c r="D8" s="110"/>
      <c r="E8" s="110"/>
      <c r="F8" s="110"/>
      <c r="G8" s="110"/>
      <c r="H8" s="110" t="s">
        <v>57</v>
      </c>
      <c r="I8" s="120">
        <v>0</v>
      </c>
      <c r="J8" s="110"/>
      <c r="K8" s="117"/>
      <c r="L8" s="84"/>
      <c r="M8" s="415" t="str">
        <f>A10</f>
        <v>Horário:</v>
      </c>
      <c r="N8" s="416">
        <v>0.333333333333333</v>
      </c>
      <c r="O8" s="417" t="s">
        <v>58</v>
      </c>
      <c r="P8" s="416">
        <f>D10</f>
        <v>0.833333333333333</v>
      </c>
      <c r="Q8" s="418" t="s">
        <v>59</v>
      </c>
      <c r="R8" s="419"/>
      <c r="S8" s="420"/>
      <c r="T8" s="420"/>
      <c r="U8" s="420"/>
      <c r="V8" s="420"/>
      <c r="W8" s="103"/>
    </row>
    <row r="9" spans="1:23" ht="12.75">
      <c r="A9" s="109" t="s">
        <v>317</v>
      </c>
      <c r="B9" s="110"/>
      <c r="C9" s="131">
        <v>200</v>
      </c>
      <c r="D9" s="110" t="s">
        <v>318</v>
      </c>
      <c r="E9" s="110"/>
      <c r="F9" s="110"/>
      <c r="G9" s="110"/>
      <c r="H9" s="110"/>
      <c r="I9" s="110"/>
      <c r="J9" s="110"/>
      <c r="K9" s="117"/>
      <c r="L9" s="84"/>
      <c r="M9" s="132"/>
      <c r="N9" s="133"/>
      <c r="O9" s="133"/>
      <c r="P9" s="133"/>
      <c r="Q9" s="133"/>
      <c r="R9" s="106"/>
      <c r="S9" s="134"/>
      <c r="T9" s="133"/>
      <c r="U9" s="135" t="s">
        <v>64</v>
      </c>
      <c r="V9" s="136"/>
      <c r="W9" s="103"/>
    </row>
    <row r="10" spans="1:23" ht="12.75">
      <c r="A10" s="415" t="s">
        <v>65</v>
      </c>
      <c r="B10" s="421">
        <v>0.333333333333333</v>
      </c>
      <c r="C10" s="417" t="s">
        <v>58</v>
      </c>
      <c r="D10" s="421">
        <v>0.833333333333333</v>
      </c>
      <c r="E10" s="418" t="s">
        <v>59</v>
      </c>
      <c r="F10" s="419"/>
      <c r="G10" s="420"/>
      <c r="H10" s="420"/>
      <c r="I10" s="420"/>
      <c r="J10" s="420"/>
      <c r="K10" s="117"/>
      <c r="L10" s="84"/>
      <c r="M10" s="16" t="s">
        <v>66</v>
      </c>
      <c r="N10" s="12" t="s">
        <v>67</v>
      </c>
      <c r="O10" s="12" t="s">
        <v>68</v>
      </c>
      <c r="P10" s="12" t="s">
        <v>67</v>
      </c>
      <c r="Q10" s="12" t="s">
        <v>69</v>
      </c>
      <c r="R10" s="815" t="s">
        <v>70</v>
      </c>
      <c r="S10" s="816"/>
      <c r="T10" s="12" t="s">
        <v>71</v>
      </c>
      <c r="U10" s="12" t="s">
        <v>72</v>
      </c>
      <c r="V10" s="138" t="s">
        <v>73</v>
      </c>
      <c r="W10" s="103"/>
    </row>
    <row r="11" spans="1:23" ht="12.75">
      <c r="A11" s="14"/>
      <c r="B11" s="15"/>
      <c r="C11" s="15"/>
      <c r="D11" s="15"/>
      <c r="E11" s="15"/>
      <c r="F11" s="15"/>
      <c r="G11" s="15"/>
      <c r="H11" s="15"/>
      <c r="I11" s="135" t="s">
        <v>64</v>
      </c>
      <c r="J11" s="139"/>
      <c r="K11" s="140"/>
      <c r="L11" s="84"/>
      <c r="M11" s="141"/>
      <c r="N11" s="142"/>
      <c r="O11" s="142"/>
      <c r="P11" s="142"/>
      <c r="Q11" s="142"/>
      <c r="R11" s="126"/>
      <c r="S11" s="143"/>
      <c r="T11" s="142"/>
      <c r="U11" s="144" t="s">
        <v>74</v>
      </c>
      <c r="V11" s="145"/>
      <c r="W11" s="146"/>
    </row>
    <row r="12" spans="1:23" ht="12.75">
      <c r="A12" s="16" t="s">
        <v>75</v>
      </c>
      <c r="B12" s="12" t="s">
        <v>67</v>
      </c>
      <c r="C12" s="12" t="s">
        <v>76</v>
      </c>
      <c r="D12" s="12" t="s">
        <v>67</v>
      </c>
      <c r="E12" s="12" t="s">
        <v>66</v>
      </c>
      <c r="F12" s="12" t="s">
        <v>69</v>
      </c>
      <c r="G12" s="12" t="s">
        <v>70</v>
      </c>
      <c r="H12" s="12" t="s">
        <v>71</v>
      </c>
      <c r="I12" s="12" t="s">
        <v>72</v>
      </c>
      <c r="J12" s="138" t="s">
        <v>73</v>
      </c>
      <c r="K12" s="147"/>
      <c r="L12" s="84"/>
      <c r="M12" s="132"/>
      <c r="N12" s="133"/>
      <c r="O12" s="135"/>
      <c r="P12" s="148"/>
      <c r="Q12" s="148"/>
      <c r="R12" s="113"/>
      <c r="S12" s="113"/>
      <c r="T12" s="133"/>
      <c r="U12" s="148"/>
      <c r="V12" s="136"/>
      <c r="W12" s="103"/>
    </row>
    <row r="13" spans="1:23" ht="12.75">
      <c r="A13" s="149"/>
      <c r="B13" s="150"/>
      <c r="C13" s="150"/>
      <c r="D13" s="150"/>
      <c r="E13" s="150"/>
      <c r="F13" s="150"/>
      <c r="G13" s="150"/>
      <c r="H13" s="150"/>
      <c r="I13" s="144" t="s">
        <v>74</v>
      </c>
      <c r="J13" s="151"/>
      <c r="K13" s="140"/>
      <c r="L13" s="84"/>
      <c r="M13" s="152"/>
      <c r="N13" s="148"/>
      <c r="O13" s="179"/>
      <c r="P13" s="148"/>
      <c r="Q13" s="153" t="s">
        <v>77</v>
      </c>
      <c r="R13" s="154" t="s">
        <v>319</v>
      </c>
      <c r="S13" s="155"/>
      <c r="T13" s="148"/>
      <c r="U13" s="148"/>
      <c r="V13" s="138" t="s">
        <v>73</v>
      </c>
      <c r="W13" s="103"/>
    </row>
    <row r="14" spans="1:23" ht="12.75">
      <c r="A14" s="152"/>
      <c r="B14" s="148"/>
      <c r="C14" s="148"/>
      <c r="D14" s="148"/>
      <c r="E14" s="148"/>
      <c r="F14" s="148"/>
      <c r="G14" s="148"/>
      <c r="H14" s="148"/>
      <c r="I14" s="148"/>
      <c r="J14" s="156"/>
      <c r="K14" s="117"/>
      <c r="L14" s="84"/>
      <c r="M14" s="152"/>
      <c r="N14" s="148"/>
      <c r="O14" s="179"/>
      <c r="P14" s="148"/>
      <c r="Q14" s="148"/>
      <c r="R14" s="113"/>
      <c r="S14" s="155"/>
      <c r="T14" s="148"/>
      <c r="U14" s="157"/>
      <c r="V14" s="156"/>
      <c r="W14" s="103"/>
    </row>
    <row r="15" spans="1:23" ht="12.75">
      <c r="A15" s="152"/>
      <c r="B15" s="148"/>
      <c r="C15" s="148"/>
      <c r="D15" s="148"/>
      <c r="E15" s="148"/>
      <c r="F15" s="153" t="s">
        <v>79</v>
      </c>
      <c r="G15" s="12" t="s">
        <v>80</v>
      </c>
      <c r="H15" s="148"/>
      <c r="I15" s="148"/>
      <c r="J15" s="156"/>
      <c r="K15" s="117"/>
      <c r="L15" s="84"/>
      <c r="M15" s="158">
        <v>0.145</v>
      </c>
      <c r="N15" s="12" t="s">
        <v>81</v>
      </c>
      <c r="O15" s="159">
        <v>1000</v>
      </c>
      <c r="P15" s="12" t="s">
        <v>59</v>
      </c>
      <c r="Q15" s="153" t="s">
        <v>82</v>
      </c>
      <c r="R15" s="154" t="s">
        <v>83</v>
      </c>
      <c r="S15" s="155"/>
      <c r="T15" s="186">
        <f>(M15/O15)</f>
        <v>0.000145</v>
      </c>
      <c r="U15" s="157">
        <f>I17</f>
        <v>105200</v>
      </c>
      <c r="V15" s="296">
        <f aca="true" t="shared" si="0" ref="V15:V21">(+U15*T15)</f>
        <v>15.254</v>
      </c>
      <c r="W15" s="163">
        <f>V15*C9/V55</f>
        <v>0.2047</v>
      </c>
    </row>
    <row r="16" spans="1:23" ht="12.75">
      <c r="A16" s="152"/>
      <c r="B16" s="148"/>
      <c r="C16" s="148"/>
      <c r="D16" s="148"/>
      <c r="E16" s="148"/>
      <c r="F16" s="148"/>
      <c r="G16" s="148"/>
      <c r="H16" s="148"/>
      <c r="I16" s="148"/>
      <c r="J16" s="156"/>
      <c r="K16" s="117"/>
      <c r="L16" s="84"/>
      <c r="M16" s="164">
        <v>22</v>
      </c>
      <c r="N16" s="12" t="s">
        <v>51</v>
      </c>
      <c r="O16" s="159" t="s">
        <v>84</v>
      </c>
      <c r="P16" s="165" t="s">
        <v>84</v>
      </c>
      <c r="Q16" s="153" t="s">
        <v>85</v>
      </c>
      <c r="R16" s="154" t="s">
        <v>86</v>
      </c>
      <c r="S16" s="155"/>
      <c r="T16" s="186">
        <f>(+M16/100)</f>
        <v>0.22</v>
      </c>
      <c r="U16" s="422">
        <f>V15</f>
        <v>15.254</v>
      </c>
      <c r="V16" s="296">
        <f t="shared" si="0"/>
        <v>3.3559</v>
      </c>
      <c r="W16" s="163">
        <f>V16*C9/V55</f>
        <v>0.045</v>
      </c>
    </row>
    <row r="17" spans="1:23" ht="12.75">
      <c r="A17" s="351">
        <v>100</v>
      </c>
      <c r="B17" s="168" t="s">
        <v>51</v>
      </c>
      <c r="C17" s="255">
        <v>120</v>
      </c>
      <c r="D17" s="12" t="s">
        <v>87</v>
      </c>
      <c r="E17" s="170" t="s">
        <v>88</v>
      </c>
      <c r="F17" s="170" t="s">
        <v>89</v>
      </c>
      <c r="G17" s="170" t="s">
        <v>90</v>
      </c>
      <c r="H17" s="423">
        <f>(+A17/C17)/100</f>
        <v>0.0083333</v>
      </c>
      <c r="I17" s="169">
        <f>I19-(M17*U17)</f>
        <v>105200</v>
      </c>
      <c r="J17" s="172">
        <f>(H17*I17)</f>
        <v>876.66</v>
      </c>
      <c r="K17" s="173">
        <f>J17/V55</f>
        <v>0.0588</v>
      </c>
      <c r="L17" s="84"/>
      <c r="M17" s="174">
        <v>4</v>
      </c>
      <c r="N17" s="12" t="s">
        <v>91</v>
      </c>
      <c r="O17" s="175">
        <v>5000</v>
      </c>
      <c r="P17" s="12" t="s">
        <v>59</v>
      </c>
      <c r="Q17" s="153" t="s">
        <v>92</v>
      </c>
      <c r="R17" s="116" t="s">
        <v>320</v>
      </c>
      <c r="S17" s="112"/>
      <c r="T17" s="186">
        <f aca="true" t="shared" si="1" ref="T17:T22">(+M17/O17)</f>
        <v>0.0008</v>
      </c>
      <c r="U17" s="761">
        <v>1200</v>
      </c>
      <c r="V17" s="296">
        <f t="shared" si="0"/>
        <v>0.96</v>
      </c>
      <c r="W17" s="163">
        <f>V17*C9/V55</f>
        <v>0.0129</v>
      </c>
    </row>
    <row r="18" spans="1:23" ht="12.75">
      <c r="A18" s="174">
        <f>A17</f>
        <v>100</v>
      </c>
      <c r="B18" s="12" t="s">
        <v>51</v>
      </c>
      <c r="C18" s="161">
        <f>C17</f>
        <v>120</v>
      </c>
      <c r="D18" s="12" t="s">
        <v>87</v>
      </c>
      <c r="E18" s="153" t="s">
        <v>88</v>
      </c>
      <c r="F18" s="153" t="s">
        <v>100</v>
      </c>
      <c r="G18" s="153" t="s">
        <v>95</v>
      </c>
      <c r="H18" s="186">
        <f>(+A18/C18)/100</f>
        <v>0.0083333</v>
      </c>
      <c r="I18" s="161" t="s">
        <v>321</v>
      </c>
      <c r="J18" s="177" t="s">
        <v>321</v>
      </c>
      <c r="K18" s="173">
        <f>J18/V55</f>
        <v>0</v>
      </c>
      <c r="L18" s="84"/>
      <c r="M18" s="767">
        <v>9</v>
      </c>
      <c r="N18" s="12" t="s">
        <v>97</v>
      </c>
      <c r="O18" s="161">
        <v>1</v>
      </c>
      <c r="P18" s="12" t="s">
        <v>59</v>
      </c>
      <c r="Q18" s="153" t="s">
        <v>98</v>
      </c>
      <c r="R18" s="116" t="s">
        <v>99</v>
      </c>
      <c r="S18" s="112"/>
      <c r="T18" s="186">
        <f t="shared" si="1"/>
        <v>9</v>
      </c>
      <c r="U18" s="761">
        <v>2.95</v>
      </c>
      <c r="V18" s="296">
        <f t="shared" si="0"/>
        <v>26.55</v>
      </c>
      <c r="W18" s="163">
        <f>V18*C9/V55</f>
        <v>0.3562</v>
      </c>
    </row>
    <row r="19" spans="1:23" ht="12.75">
      <c r="A19" s="760">
        <v>18</v>
      </c>
      <c r="B19" s="168" t="s">
        <v>51</v>
      </c>
      <c r="C19" s="169">
        <v>12</v>
      </c>
      <c r="D19" s="12" t="s">
        <v>87</v>
      </c>
      <c r="E19" s="170" t="s">
        <v>88</v>
      </c>
      <c r="F19" s="170" t="s">
        <v>109</v>
      </c>
      <c r="G19" s="170" t="s">
        <v>101</v>
      </c>
      <c r="H19" s="423">
        <f>(+A19/C19)/100</f>
        <v>0.015</v>
      </c>
      <c r="I19" s="255">
        <v>110000</v>
      </c>
      <c r="J19" s="172">
        <f>(H19*I19)</f>
        <v>1650</v>
      </c>
      <c r="K19" s="173">
        <f>J19/V55</f>
        <v>0.1107</v>
      </c>
      <c r="L19" s="84"/>
      <c r="M19" s="174">
        <v>11</v>
      </c>
      <c r="N19" s="12" t="s">
        <v>97</v>
      </c>
      <c r="O19" s="159">
        <v>5000</v>
      </c>
      <c r="P19" s="12" t="s">
        <v>59</v>
      </c>
      <c r="Q19" s="153" t="s">
        <v>102</v>
      </c>
      <c r="R19" s="154" t="s">
        <v>103</v>
      </c>
      <c r="S19" s="155"/>
      <c r="T19" s="186">
        <f t="shared" si="1"/>
        <v>0.0022</v>
      </c>
      <c r="U19" s="761">
        <v>19</v>
      </c>
      <c r="V19" s="296">
        <f t="shared" si="0"/>
        <v>0.0418</v>
      </c>
      <c r="W19" s="163">
        <f>V19*C9/V55</f>
        <v>0.0006</v>
      </c>
    </row>
    <row r="20" spans="1:23" ht="12.75">
      <c r="A20" s="174">
        <f>A19</f>
        <v>18</v>
      </c>
      <c r="B20" s="12" t="s">
        <v>51</v>
      </c>
      <c r="C20" s="161">
        <f>C19</f>
        <v>12</v>
      </c>
      <c r="D20" s="12" t="s">
        <v>87</v>
      </c>
      <c r="E20" s="153" t="s">
        <v>88</v>
      </c>
      <c r="F20" s="153" t="s">
        <v>113</v>
      </c>
      <c r="G20" s="153" t="s">
        <v>105</v>
      </c>
      <c r="H20" s="186">
        <f>(+A20/C20)/100</f>
        <v>0.015</v>
      </c>
      <c r="I20" s="161" t="s">
        <v>321</v>
      </c>
      <c r="J20" s="177" t="s">
        <v>321</v>
      </c>
      <c r="K20" s="173">
        <f>J20/V55</f>
        <v>0</v>
      </c>
      <c r="L20" s="84"/>
      <c r="M20" s="174">
        <v>26</v>
      </c>
      <c r="N20" s="12" t="s">
        <v>97</v>
      </c>
      <c r="O20" s="159">
        <v>5000</v>
      </c>
      <c r="P20" s="12" t="s">
        <v>59</v>
      </c>
      <c r="Q20" s="153" t="s">
        <v>106</v>
      </c>
      <c r="R20" s="154" t="s">
        <v>322</v>
      </c>
      <c r="S20" s="155"/>
      <c r="T20" s="186">
        <f t="shared" si="1"/>
        <v>0.0052</v>
      </c>
      <c r="U20" s="761">
        <v>22</v>
      </c>
      <c r="V20" s="296">
        <f t="shared" si="0"/>
        <v>0.1144</v>
      </c>
      <c r="W20" s="163">
        <f>V20*C9/V55</f>
        <v>0.0015</v>
      </c>
    </row>
    <row r="21" spans="1:23" ht="12.75">
      <c r="A21" s="174">
        <v>0</v>
      </c>
      <c r="B21" s="12" t="s">
        <v>323</v>
      </c>
      <c r="C21" s="161">
        <v>12</v>
      </c>
      <c r="D21" s="12" t="s">
        <v>87</v>
      </c>
      <c r="E21" s="153" t="s">
        <v>88</v>
      </c>
      <c r="F21" s="153" t="s">
        <v>116</v>
      </c>
      <c r="G21" s="153" t="s">
        <v>117</v>
      </c>
      <c r="H21" s="186">
        <f>1/12</f>
        <v>0.0833333</v>
      </c>
      <c r="I21" s="161">
        <f>(+I17*A21)/100</f>
        <v>0</v>
      </c>
      <c r="J21" s="177">
        <f>(I21*H21)</f>
        <v>0</v>
      </c>
      <c r="K21" s="173">
        <f>J21/V55</f>
        <v>0</v>
      </c>
      <c r="L21" s="84"/>
      <c r="M21" s="174">
        <v>18</v>
      </c>
      <c r="N21" s="12" t="s">
        <v>91</v>
      </c>
      <c r="O21" s="159">
        <v>1000</v>
      </c>
      <c r="P21" s="12" t="s">
        <v>59</v>
      </c>
      <c r="Q21" s="153" t="s">
        <v>111</v>
      </c>
      <c r="R21" s="154" t="s">
        <v>324</v>
      </c>
      <c r="S21" s="155"/>
      <c r="T21" s="186">
        <f t="shared" si="1"/>
        <v>0.018</v>
      </c>
      <c r="U21" s="761">
        <v>18</v>
      </c>
      <c r="V21" s="296">
        <f t="shared" si="0"/>
        <v>0.324</v>
      </c>
      <c r="W21" s="163">
        <f>V21*C9/V55</f>
        <v>0.0043</v>
      </c>
    </row>
    <row r="22" spans="1:23" ht="12.75">
      <c r="A22" s="174"/>
      <c r="B22" s="12"/>
      <c r="C22" s="161"/>
      <c r="D22" s="12"/>
      <c r="E22" s="153"/>
      <c r="F22" s="153"/>
      <c r="G22" s="153"/>
      <c r="H22" s="186"/>
      <c r="I22" s="161"/>
      <c r="J22" s="177"/>
      <c r="K22" s="173"/>
      <c r="L22" s="84"/>
      <c r="M22" s="174">
        <v>1</v>
      </c>
      <c r="N22" s="12" t="s">
        <v>91</v>
      </c>
      <c r="O22" s="159">
        <v>500</v>
      </c>
      <c r="P22" s="12" t="s">
        <v>59</v>
      </c>
      <c r="Q22" s="153" t="s">
        <v>111</v>
      </c>
      <c r="R22" s="154" t="s">
        <v>112</v>
      </c>
      <c r="S22" s="155"/>
      <c r="T22" s="186">
        <f t="shared" si="1"/>
        <v>0.002</v>
      </c>
      <c r="U22" s="762">
        <v>100</v>
      </c>
      <c r="V22" s="296">
        <f>(+U22*T22)</f>
        <v>0.2</v>
      </c>
      <c r="W22" s="163">
        <f>V22*C9/V55</f>
        <v>0.0027</v>
      </c>
    </row>
    <row r="23" spans="1:23" ht="12.75">
      <c r="A23" s="174"/>
      <c r="B23" s="12"/>
      <c r="C23" s="161"/>
      <c r="D23" s="12"/>
      <c r="E23" s="153"/>
      <c r="F23" s="153"/>
      <c r="G23" s="153"/>
      <c r="H23" s="186"/>
      <c r="I23" s="161"/>
      <c r="J23" s="177"/>
      <c r="K23" s="173"/>
      <c r="L23" s="84"/>
      <c r="M23" s="141"/>
      <c r="N23" s="142"/>
      <c r="O23" s="144"/>
      <c r="P23" s="142"/>
      <c r="Q23" s="223" t="s">
        <v>118</v>
      </c>
      <c r="R23" s="218" t="s">
        <v>325</v>
      </c>
      <c r="S23" s="219"/>
      <c r="T23" s="220"/>
      <c r="U23" s="221"/>
      <c r="V23" s="426">
        <f>SUM(V15:V22)</f>
        <v>46.8001</v>
      </c>
      <c r="W23" s="184">
        <f>V23*C9/V55</f>
        <v>0.6279</v>
      </c>
    </row>
    <row r="24" spans="1:23" ht="12.75">
      <c r="A24" s="351">
        <v>0</v>
      </c>
      <c r="B24" s="168" t="s">
        <v>326</v>
      </c>
      <c r="C24" s="175">
        <f>C9</f>
        <v>200</v>
      </c>
      <c r="D24" s="168" t="s">
        <v>327</v>
      </c>
      <c r="E24" s="427">
        <f>(+C24*H24)</f>
        <v>0</v>
      </c>
      <c r="F24" s="170" t="s">
        <v>120</v>
      </c>
      <c r="G24" s="202" t="s">
        <v>328</v>
      </c>
      <c r="H24" s="423">
        <f>(+A24/100)</f>
        <v>0</v>
      </c>
      <c r="I24" s="203">
        <f>V23</f>
        <v>46.8001</v>
      </c>
      <c r="J24" s="172">
        <f>(+E24*I24)</f>
        <v>0</v>
      </c>
      <c r="K24" s="173">
        <f>J24/V55</f>
        <v>0</v>
      </c>
      <c r="L24" s="84"/>
      <c r="M24" s="152"/>
      <c r="N24" s="148"/>
      <c r="O24" s="148"/>
      <c r="P24" s="148"/>
      <c r="Q24" s="295"/>
      <c r="R24" s="155"/>
      <c r="S24" s="155"/>
      <c r="T24" s="148"/>
      <c r="U24" s="157"/>
      <c r="V24" s="296"/>
      <c r="W24" s="103"/>
    </row>
    <row r="25" spans="1:23" ht="12.75">
      <c r="A25" s="174"/>
      <c r="B25" s="148"/>
      <c r="C25" s="161"/>
      <c r="D25" s="148"/>
      <c r="E25" s="148"/>
      <c r="F25" s="148"/>
      <c r="G25" s="148"/>
      <c r="H25" s="186"/>
      <c r="I25" s="157"/>
      <c r="J25" s="298"/>
      <c r="K25" s="192"/>
      <c r="L25" s="84"/>
      <c r="M25" s="141"/>
      <c r="N25" s="142"/>
      <c r="O25" s="142"/>
      <c r="P25" s="142"/>
      <c r="Q25" s="142"/>
      <c r="R25" s="126"/>
      <c r="S25" s="126"/>
      <c r="T25" s="142"/>
      <c r="U25" s="299"/>
      <c r="V25" s="300"/>
      <c r="W25" s="103"/>
    </row>
    <row r="26" spans="1:23" ht="12.75">
      <c r="A26" s="174"/>
      <c r="B26" s="148"/>
      <c r="C26" s="161"/>
      <c r="D26" s="148"/>
      <c r="E26" s="424"/>
      <c r="F26" s="170"/>
      <c r="G26" s="170"/>
      <c r="H26" s="423"/>
      <c r="I26" s="428"/>
      <c r="J26" s="425"/>
      <c r="K26" s="173"/>
      <c r="L26" s="84"/>
      <c r="M26" s="197"/>
      <c r="N26" s="113"/>
      <c r="O26" s="113"/>
      <c r="P26" s="113"/>
      <c r="Q26" s="113"/>
      <c r="R26" s="113"/>
      <c r="S26" s="113"/>
      <c r="T26" s="113"/>
      <c r="U26" s="127"/>
      <c r="V26" s="127"/>
      <c r="W26" s="103"/>
    </row>
    <row r="27" spans="1:23" ht="12.75">
      <c r="A27" s="174"/>
      <c r="B27" s="12"/>
      <c r="C27" s="161"/>
      <c r="D27" s="12"/>
      <c r="E27" s="424"/>
      <c r="F27" s="153"/>
      <c r="G27" s="170"/>
      <c r="H27" s="423"/>
      <c r="I27" s="424"/>
      <c r="J27" s="425"/>
      <c r="K27" s="173"/>
      <c r="L27" s="84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3"/>
    </row>
    <row r="28" spans="1:23" ht="12.75">
      <c r="A28" s="174"/>
      <c r="B28" s="148"/>
      <c r="C28" s="161"/>
      <c r="D28" s="148"/>
      <c r="E28" s="148"/>
      <c r="F28" s="170" t="s">
        <v>125</v>
      </c>
      <c r="G28" s="148" t="s">
        <v>445</v>
      </c>
      <c r="H28" s="186"/>
      <c r="I28" s="157"/>
      <c r="J28" s="177">
        <f>SUM(J17:J27)</f>
        <v>2526.66</v>
      </c>
      <c r="K28" s="173"/>
      <c r="L28" s="84"/>
      <c r="M28" s="301"/>
      <c r="N28" s="302"/>
      <c r="O28" s="302"/>
      <c r="P28" s="302"/>
      <c r="Q28" s="303"/>
      <c r="R28" s="302"/>
      <c r="S28" s="302"/>
      <c r="T28" s="302"/>
      <c r="U28" s="304"/>
      <c r="V28" s="302"/>
      <c r="W28" s="93"/>
    </row>
    <row r="29" spans="1:23" ht="16.5" customHeight="1">
      <c r="A29" s="174"/>
      <c r="B29" s="148"/>
      <c r="C29" s="161"/>
      <c r="D29" s="148"/>
      <c r="E29" s="424"/>
      <c r="F29" s="170"/>
      <c r="G29" s="170"/>
      <c r="H29" s="423"/>
      <c r="I29" s="428"/>
      <c r="J29" s="425"/>
      <c r="K29" s="173"/>
      <c r="L29" s="84"/>
      <c r="M29" s="94" t="s">
        <v>329</v>
      </c>
      <c r="N29" s="95"/>
      <c r="O29" s="95"/>
      <c r="P29" s="95"/>
      <c r="Q29" s="95"/>
      <c r="R29" s="95"/>
      <c r="S29" s="95"/>
      <c r="T29" s="95"/>
      <c r="U29" s="95"/>
      <c r="V29" s="208"/>
      <c r="W29" s="93"/>
    </row>
    <row r="30" spans="1:23" ht="12.75">
      <c r="A30" s="760">
        <v>2.5</v>
      </c>
      <c r="B30" s="168" t="s">
        <v>198</v>
      </c>
      <c r="C30" s="161"/>
      <c r="D30" s="12"/>
      <c r="E30" s="424"/>
      <c r="F30" s="170" t="s">
        <v>446</v>
      </c>
      <c r="G30" s="226" t="s">
        <v>448</v>
      </c>
      <c r="H30" s="186">
        <f>A30/100</f>
        <v>0.025</v>
      </c>
      <c r="I30" s="246">
        <f>J28</f>
        <v>2526.66</v>
      </c>
      <c r="J30" s="172">
        <f>H30*I30</f>
        <v>63.17</v>
      </c>
      <c r="K30" s="173">
        <f>J30/V55</f>
        <v>0.0042</v>
      </c>
      <c r="L30" s="84"/>
      <c r="M30" s="209"/>
      <c r="N30" s="210"/>
      <c r="O30" s="210"/>
      <c r="P30" s="210"/>
      <c r="Q30" s="210"/>
      <c r="R30" s="210"/>
      <c r="S30" s="210"/>
      <c r="T30" s="210"/>
      <c r="U30" s="210"/>
      <c r="V30" s="210"/>
      <c r="W30" s="93"/>
    </row>
    <row r="31" spans="1:23" ht="12.75">
      <c r="A31" s="185"/>
      <c r="B31" s="12"/>
      <c r="C31" s="161"/>
      <c r="D31" s="12"/>
      <c r="E31" s="157"/>
      <c r="F31" s="153"/>
      <c r="G31" s="153"/>
      <c r="H31" s="186"/>
      <c r="I31" s="157"/>
      <c r="J31" s="298"/>
      <c r="K31" s="173"/>
      <c r="L31" s="84"/>
      <c r="M31" s="188"/>
      <c r="N31" s="106"/>
      <c r="O31" s="133"/>
      <c r="P31" s="133"/>
      <c r="Q31" s="133"/>
      <c r="R31" s="136"/>
      <c r="S31" s="134"/>
      <c r="T31" s="133"/>
      <c r="U31" s="135" t="s">
        <v>64</v>
      </c>
      <c r="V31" s="211"/>
      <c r="W31" s="93"/>
    </row>
    <row r="32" spans="1:23" ht="12.75">
      <c r="A32" s="185"/>
      <c r="B32" s="12"/>
      <c r="C32" s="161"/>
      <c r="D32" s="12"/>
      <c r="E32" s="157"/>
      <c r="F32" s="153"/>
      <c r="G32" s="153"/>
      <c r="H32" s="186"/>
      <c r="I32" s="157"/>
      <c r="J32" s="298"/>
      <c r="K32" s="173"/>
      <c r="L32" s="84"/>
      <c r="M32" s="197"/>
      <c r="N32" s="113"/>
      <c r="O32" s="12" t="s">
        <v>75</v>
      </c>
      <c r="P32" s="12" t="s">
        <v>67</v>
      </c>
      <c r="Q32" s="12" t="s">
        <v>69</v>
      </c>
      <c r="R32" s="815" t="s">
        <v>128</v>
      </c>
      <c r="S32" s="816"/>
      <c r="T32" s="12" t="s">
        <v>71</v>
      </c>
      <c r="U32" s="12" t="s">
        <v>72</v>
      </c>
      <c r="V32" s="177" t="s">
        <v>129</v>
      </c>
      <c r="W32" s="215"/>
    </row>
    <row r="33" spans="1:23" ht="12.75">
      <c r="A33" s="101"/>
      <c r="B33" s="212"/>
      <c r="C33" s="212"/>
      <c r="D33" s="212"/>
      <c r="E33" s="212"/>
      <c r="F33" s="212"/>
      <c r="G33" s="212"/>
      <c r="H33" s="212"/>
      <c r="I33" s="212"/>
      <c r="J33" s="212"/>
      <c r="K33" s="93"/>
      <c r="L33" s="84"/>
      <c r="M33" s="209"/>
      <c r="N33" s="210"/>
      <c r="O33" s="150"/>
      <c r="P33" s="150"/>
      <c r="Q33" s="150"/>
      <c r="R33" s="151"/>
      <c r="S33" s="217"/>
      <c r="T33" s="150"/>
      <c r="U33" s="144" t="s">
        <v>74</v>
      </c>
      <c r="V33" s="151"/>
      <c r="W33" s="103"/>
    </row>
    <row r="34" spans="1:23" ht="12.75">
      <c r="A34" s="152"/>
      <c r="B34" s="148"/>
      <c r="C34" s="179"/>
      <c r="D34" s="148"/>
      <c r="E34" s="148"/>
      <c r="F34" s="148"/>
      <c r="G34" s="148"/>
      <c r="H34" s="148"/>
      <c r="I34" s="148"/>
      <c r="J34" s="156"/>
      <c r="K34" s="173"/>
      <c r="L34" s="84"/>
      <c r="M34" s="197"/>
      <c r="N34" s="113"/>
      <c r="O34" s="148"/>
      <c r="P34" s="133"/>
      <c r="Q34" s="154" t="s">
        <v>130</v>
      </c>
      <c r="R34" s="218" t="s">
        <v>330</v>
      </c>
      <c r="S34" s="219"/>
      <c r="T34" s="220"/>
      <c r="U34" s="221"/>
      <c r="V34" s="39" t="s">
        <v>73</v>
      </c>
      <c r="W34" s="222"/>
    </row>
    <row r="35" spans="1:23" ht="12.75">
      <c r="A35" s="141"/>
      <c r="B35" s="142"/>
      <c r="C35" s="144"/>
      <c r="D35" s="142"/>
      <c r="E35" s="142"/>
      <c r="F35" s="223" t="s">
        <v>132</v>
      </c>
      <c r="G35" s="218" t="s">
        <v>447</v>
      </c>
      <c r="H35" s="224"/>
      <c r="I35" s="224"/>
      <c r="J35" s="429">
        <f>SUM(J28:J34)</f>
        <v>2589.83</v>
      </c>
      <c r="K35" s="196">
        <f>J35/V55</f>
        <v>0.1737</v>
      </c>
      <c r="L35" s="84"/>
      <c r="M35" s="197"/>
      <c r="N35" s="113"/>
      <c r="O35" s="148"/>
      <c r="P35" s="148"/>
      <c r="Q35" s="154" t="s">
        <v>133</v>
      </c>
      <c r="R35" s="226" t="s">
        <v>331</v>
      </c>
      <c r="S35" s="227"/>
      <c r="T35" s="148"/>
      <c r="U35" s="422">
        <f>V23</f>
        <v>46.8001</v>
      </c>
      <c r="V35" s="296">
        <f>$V$23</f>
        <v>46.8001</v>
      </c>
      <c r="W35" s="103"/>
    </row>
    <row r="36" spans="1:23" ht="12.75">
      <c r="A36" s="197"/>
      <c r="B36" s="113"/>
      <c r="C36" s="113"/>
      <c r="D36" s="113"/>
      <c r="E36" s="113"/>
      <c r="F36" s="154"/>
      <c r="G36" s="154"/>
      <c r="H36" s="154"/>
      <c r="I36" s="154"/>
      <c r="J36" s="127"/>
      <c r="K36" s="228"/>
      <c r="L36" s="84"/>
      <c r="M36" s="197"/>
      <c r="N36" s="113"/>
      <c r="O36" s="161"/>
      <c r="P36" s="12"/>
      <c r="Q36" s="154"/>
      <c r="R36" s="226"/>
      <c r="S36" s="227"/>
      <c r="T36" s="186"/>
      <c r="U36" s="148"/>
      <c r="V36" s="296"/>
      <c r="W36" s="163"/>
    </row>
    <row r="37" spans="1:23" ht="20.25">
      <c r="A37" s="229" t="s">
        <v>136</v>
      </c>
      <c r="B37" s="230"/>
      <c r="C37" s="230"/>
      <c r="D37" s="230"/>
      <c r="E37" s="230"/>
      <c r="F37" s="230"/>
      <c r="G37" s="230"/>
      <c r="H37" s="230"/>
      <c r="I37" s="230"/>
      <c r="J37" s="230"/>
      <c r="K37" s="192"/>
      <c r="L37" s="84"/>
      <c r="M37" s="197"/>
      <c r="N37" s="113"/>
      <c r="O37" s="161">
        <f>C44</f>
        <v>5.5</v>
      </c>
      <c r="P37" s="12" t="s">
        <v>51</v>
      </c>
      <c r="Q37" s="154" t="s">
        <v>135</v>
      </c>
      <c r="R37" s="226" t="s">
        <v>138</v>
      </c>
      <c r="S37" s="227"/>
      <c r="T37" s="186">
        <f>(+O37/100)</f>
        <v>0.055</v>
      </c>
      <c r="U37" s="148"/>
      <c r="V37" s="296">
        <f>(+V35*T37)</f>
        <v>2.574</v>
      </c>
      <c r="W37" s="163">
        <f>V37*C9/V55</f>
        <v>0.0345</v>
      </c>
    </row>
    <row r="38" spans="1:23" ht="20.25">
      <c r="A38" s="197"/>
      <c r="B38" s="113"/>
      <c r="C38" s="113"/>
      <c r="D38" s="113"/>
      <c r="E38" s="113"/>
      <c r="F38" s="113"/>
      <c r="G38" s="155"/>
      <c r="H38" s="113"/>
      <c r="I38" s="113"/>
      <c r="J38" s="113"/>
      <c r="K38" s="97"/>
      <c r="L38" s="84"/>
      <c r="M38" s="197"/>
      <c r="N38" s="113"/>
      <c r="O38" s="161" t="s">
        <v>139</v>
      </c>
      <c r="P38" s="148"/>
      <c r="Q38" s="154" t="s">
        <v>137</v>
      </c>
      <c r="R38" s="226" t="s">
        <v>418</v>
      </c>
      <c r="S38" s="227"/>
      <c r="T38" s="148"/>
      <c r="U38" s="148"/>
      <c r="V38" s="296">
        <f>SUM(V35:V37)</f>
        <v>49.3741</v>
      </c>
      <c r="W38" s="163"/>
    </row>
    <row r="39" spans="1:23" ht="12.75">
      <c r="A39" s="188"/>
      <c r="B39" s="134"/>
      <c r="C39" s="133"/>
      <c r="D39" s="133"/>
      <c r="E39" s="133"/>
      <c r="F39" s="231"/>
      <c r="G39" s="182"/>
      <c r="H39" s="15"/>
      <c r="I39" s="135" t="s">
        <v>64</v>
      </c>
      <c r="J39" s="136"/>
      <c r="K39" s="117"/>
      <c r="L39" s="84"/>
      <c r="M39" s="197"/>
      <c r="N39" s="113"/>
      <c r="O39" s="161">
        <f>C47</f>
        <v>0</v>
      </c>
      <c r="P39" s="12" t="s">
        <v>51</v>
      </c>
      <c r="Q39" s="154" t="s">
        <v>140</v>
      </c>
      <c r="R39" s="226" t="s">
        <v>142</v>
      </c>
      <c r="S39" s="227"/>
      <c r="T39" s="186">
        <f>(+O39/100)</f>
        <v>0</v>
      </c>
      <c r="U39" s="430">
        <f>V38</f>
        <v>49.3741</v>
      </c>
      <c r="V39" s="296">
        <f>(+V38*T39)</f>
        <v>0</v>
      </c>
      <c r="W39" s="163">
        <f>V39*C9/V55</f>
        <v>0</v>
      </c>
    </row>
    <row r="40" spans="1:23" ht="12.75">
      <c r="A40" s="197"/>
      <c r="B40" s="233"/>
      <c r="C40" s="12" t="s">
        <v>75</v>
      </c>
      <c r="D40" s="12" t="s">
        <v>67</v>
      </c>
      <c r="E40" s="12" t="s">
        <v>69</v>
      </c>
      <c r="F40" s="815" t="s">
        <v>70</v>
      </c>
      <c r="G40" s="816"/>
      <c r="H40" s="12" t="s">
        <v>71</v>
      </c>
      <c r="I40" s="12" t="s">
        <v>72</v>
      </c>
      <c r="J40" s="138" t="s">
        <v>73</v>
      </c>
      <c r="K40" s="117"/>
      <c r="L40" s="84"/>
      <c r="M40" s="197"/>
      <c r="N40" s="113"/>
      <c r="O40" s="161" t="s">
        <v>139</v>
      </c>
      <c r="P40" s="148"/>
      <c r="Q40" s="154" t="s">
        <v>141</v>
      </c>
      <c r="R40" s="226" t="s">
        <v>419</v>
      </c>
      <c r="S40" s="227"/>
      <c r="T40" s="148"/>
      <c r="U40" s="148"/>
      <c r="V40" s="296">
        <f>SUM(V38:V39)</f>
        <v>49.3741</v>
      </c>
      <c r="W40" s="163"/>
    </row>
    <row r="41" spans="1:23" ht="12.75">
      <c r="A41" s="197"/>
      <c r="B41" s="233"/>
      <c r="C41" s="142"/>
      <c r="D41" s="142"/>
      <c r="E41" s="142"/>
      <c r="F41" s="145"/>
      <c r="G41" s="126"/>
      <c r="H41" s="150"/>
      <c r="I41" s="144" t="s">
        <v>74</v>
      </c>
      <c r="J41" s="145"/>
      <c r="K41" s="234"/>
      <c r="L41" s="84"/>
      <c r="M41" s="197"/>
      <c r="N41" s="113"/>
      <c r="O41" s="161">
        <f>C50</f>
        <v>9</v>
      </c>
      <c r="P41" s="12" t="s">
        <v>51</v>
      </c>
      <c r="Q41" s="154" t="s">
        <v>143</v>
      </c>
      <c r="R41" s="226" t="s">
        <v>145</v>
      </c>
      <c r="S41" s="227"/>
      <c r="T41" s="186">
        <f>(+O41/100)</f>
        <v>0.09</v>
      </c>
      <c r="U41" s="430">
        <f>V40</f>
        <v>49.3741</v>
      </c>
      <c r="V41" s="296">
        <f>(+V40*T41)</f>
        <v>4.4437</v>
      </c>
      <c r="W41" s="163">
        <f>V41*C9/V55</f>
        <v>0.0596</v>
      </c>
    </row>
    <row r="42" spans="1:23" ht="12.75">
      <c r="A42" s="197"/>
      <c r="B42" s="233"/>
      <c r="C42" s="148"/>
      <c r="D42" s="148"/>
      <c r="E42" s="153" t="s">
        <v>146</v>
      </c>
      <c r="F42" s="181" t="s">
        <v>147</v>
      </c>
      <c r="G42" s="106"/>
      <c r="H42" s="235"/>
      <c r="I42" s="161">
        <f>J35</f>
        <v>2589.83</v>
      </c>
      <c r="J42" s="236">
        <f>J35</f>
        <v>2589.83</v>
      </c>
      <c r="K42" s="117"/>
      <c r="L42" s="84"/>
      <c r="M42" s="197"/>
      <c r="N42" s="113"/>
      <c r="O42" s="161" t="s">
        <v>139</v>
      </c>
      <c r="P42" s="148"/>
      <c r="Q42" s="154" t="s">
        <v>144</v>
      </c>
      <c r="R42" s="226" t="s">
        <v>420</v>
      </c>
      <c r="S42" s="227"/>
      <c r="T42" s="148"/>
      <c r="U42" s="148"/>
      <c r="V42" s="296">
        <f>SUM(V40:V41)</f>
        <v>53.8178</v>
      </c>
      <c r="W42" s="163"/>
    </row>
    <row r="43" spans="1:23" ht="12.75">
      <c r="A43" s="197"/>
      <c r="B43" s="233"/>
      <c r="C43" s="706"/>
      <c r="D43" s="12"/>
      <c r="E43" s="153"/>
      <c r="F43" s="226"/>
      <c r="G43" s="227"/>
      <c r="H43" s="186"/>
      <c r="I43" s="179"/>
      <c r="J43" s="177"/>
      <c r="K43" s="173"/>
      <c r="L43" s="84"/>
      <c r="M43" s="197"/>
      <c r="N43" s="113"/>
      <c r="O43" s="195">
        <f>C53</f>
        <v>7.81</v>
      </c>
      <c r="P43" s="12" t="s">
        <v>51</v>
      </c>
      <c r="Q43" s="154" t="s">
        <v>150</v>
      </c>
      <c r="R43" s="226" t="s">
        <v>151</v>
      </c>
      <c r="S43" s="227"/>
      <c r="T43" s="186">
        <f>(+O43/100)</f>
        <v>0.0781</v>
      </c>
      <c r="U43" s="148"/>
      <c r="V43" s="296">
        <f>(+V45*T43)</f>
        <v>4.5592</v>
      </c>
      <c r="W43" s="163">
        <f>V43*C9/V55</f>
        <v>0.0612</v>
      </c>
    </row>
    <row r="44" spans="1:23" ht="12.75">
      <c r="A44" s="197"/>
      <c r="B44" s="233"/>
      <c r="C44" s="237">
        <v>5.5</v>
      </c>
      <c r="D44" s="12" t="s">
        <v>51</v>
      </c>
      <c r="E44" s="153" t="s">
        <v>149</v>
      </c>
      <c r="F44" s="226" t="s">
        <v>138</v>
      </c>
      <c r="G44" s="227"/>
      <c r="H44" s="186">
        <f>(C44/100)</f>
        <v>0.055</v>
      </c>
      <c r="I44" s="179"/>
      <c r="J44" s="177">
        <f>(+J42*H44)</f>
        <v>142.44</v>
      </c>
      <c r="K44" s="173">
        <f>J44/V55</f>
        <v>0.0096</v>
      </c>
      <c r="L44" s="84"/>
      <c r="M44" s="197"/>
      <c r="N44" s="113"/>
      <c r="O44" s="161" t="s">
        <v>139</v>
      </c>
      <c r="P44" s="148"/>
      <c r="Q44" s="113"/>
      <c r="R44" s="156"/>
      <c r="S44" s="233"/>
      <c r="T44" s="148"/>
      <c r="U44" s="148"/>
      <c r="V44" s="296"/>
      <c r="W44" s="146"/>
    </row>
    <row r="45" spans="1:25" ht="12.75">
      <c r="A45" s="197"/>
      <c r="B45" s="233"/>
      <c r="C45" s="161" t="s">
        <v>139</v>
      </c>
      <c r="D45" s="148"/>
      <c r="E45" s="148"/>
      <c r="F45" s="156"/>
      <c r="G45" s="113"/>
      <c r="H45" s="186"/>
      <c r="I45" s="161"/>
      <c r="J45" s="177"/>
      <c r="K45" s="238"/>
      <c r="L45" s="84"/>
      <c r="M45" s="239"/>
      <c r="N45" s="126"/>
      <c r="O45" s="240" t="s">
        <v>139</v>
      </c>
      <c r="P45" s="142"/>
      <c r="Q45" s="241" t="s">
        <v>148</v>
      </c>
      <c r="R45" s="218" t="s">
        <v>421</v>
      </c>
      <c r="S45" s="221"/>
      <c r="T45" s="242"/>
      <c r="U45" s="220"/>
      <c r="V45" s="426">
        <f>V42/(1-T43)</f>
        <v>58.377</v>
      </c>
      <c r="W45" s="244">
        <f>V45*C9/V55</f>
        <v>0.7833</v>
      </c>
      <c r="Y45" s="178"/>
    </row>
    <row r="46" spans="1:23" ht="12.75">
      <c r="A46" s="197"/>
      <c r="B46" s="233"/>
      <c r="C46" s="245"/>
      <c r="D46" s="148"/>
      <c r="E46" s="153" t="s">
        <v>152</v>
      </c>
      <c r="F46" s="226" t="s">
        <v>424</v>
      </c>
      <c r="G46" s="113"/>
      <c r="H46" s="186"/>
      <c r="I46" s="179"/>
      <c r="J46" s="177">
        <f>SUM(J42:J44)</f>
        <v>2732.27</v>
      </c>
      <c r="K46" s="173"/>
      <c r="L46" s="84"/>
      <c r="M46" s="193"/>
      <c r="N46" s="194"/>
      <c r="O46" s="194"/>
      <c r="P46" s="194"/>
      <c r="Q46" s="194"/>
      <c r="R46" s="194"/>
      <c r="S46" s="194"/>
      <c r="T46" s="194"/>
      <c r="U46" s="194"/>
      <c r="V46" s="194"/>
      <c r="W46" s="103"/>
    </row>
    <row r="47" spans="1:23" ht="12.75">
      <c r="A47" s="197"/>
      <c r="B47" s="233"/>
      <c r="C47" s="161">
        <v>0</v>
      </c>
      <c r="D47" s="12" t="s">
        <v>51</v>
      </c>
      <c r="E47" s="153" t="s">
        <v>154</v>
      </c>
      <c r="F47" s="226" t="s">
        <v>142</v>
      </c>
      <c r="G47" s="227"/>
      <c r="H47" s="186">
        <f>(C47/100)</f>
        <v>0</v>
      </c>
      <c r="I47" s="246">
        <f>J46</f>
        <v>2732.27</v>
      </c>
      <c r="J47" s="177">
        <f>(+J46*H47)</f>
        <v>0</v>
      </c>
      <c r="K47" s="173">
        <f>J47/V55</f>
        <v>0</v>
      </c>
      <c r="L47" s="84"/>
      <c r="M47" s="197"/>
      <c r="N47" s="113"/>
      <c r="O47" s="113"/>
      <c r="P47" s="113"/>
      <c r="Q47" s="113"/>
      <c r="R47" s="113"/>
      <c r="S47" s="113"/>
      <c r="T47" s="113"/>
      <c r="U47" s="113"/>
      <c r="V47" s="113"/>
      <c r="W47" s="103"/>
    </row>
    <row r="48" spans="1:23" ht="13.5" thickBot="1">
      <c r="A48" s="197"/>
      <c r="B48" s="233"/>
      <c r="C48" s="161" t="s">
        <v>139</v>
      </c>
      <c r="D48" s="148"/>
      <c r="E48" s="148"/>
      <c r="F48" s="156"/>
      <c r="G48" s="113"/>
      <c r="H48" s="186"/>
      <c r="I48" s="161"/>
      <c r="J48" s="177"/>
      <c r="K48" s="238"/>
      <c r="L48" s="84"/>
      <c r="M48" s="197"/>
      <c r="N48" s="113"/>
      <c r="O48" s="113"/>
      <c r="P48" s="113"/>
      <c r="Q48" s="113"/>
      <c r="R48" s="113"/>
      <c r="S48" s="113"/>
      <c r="T48" s="113"/>
      <c r="U48" s="113"/>
      <c r="V48" s="113"/>
      <c r="W48" s="103"/>
    </row>
    <row r="49" spans="1:23" ht="20.25">
      <c r="A49" s="197"/>
      <c r="B49" s="233"/>
      <c r="C49" s="161" t="s">
        <v>139</v>
      </c>
      <c r="D49" s="148"/>
      <c r="E49" s="153" t="s">
        <v>155</v>
      </c>
      <c r="F49" s="226" t="s">
        <v>425</v>
      </c>
      <c r="G49" s="113"/>
      <c r="H49" s="186"/>
      <c r="I49" s="179"/>
      <c r="J49" s="177">
        <f>SUM(J46:J47)</f>
        <v>2732.27</v>
      </c>
      <c r="K49" s="238"/>
      <c r="L49" s="84"/>
      <c r="M49" s="197"/>
      <c r="N49" s="113"/>
      <c r="O49" s="113"/>
      <c r="P49" s="113"/>
      <c r="Q49" s="247" t="s">
        <v>157</v>
      </c>
      <c r="R49" s="248"/>
      <c r="S49" s="248"/>
      <c r="T49" s="248"/>
      <c r="U49" s="248"/>
      <c r="V49" s="248"/>
      <c r="W49" s="103"/>
    </row>
    <row r="50" spans="1:23" ht="13.5" thickBot="1">
      <c r="A50" s="197"/>
      <c r="B50" s="233"/>
      <c r="C50" s="237">
        <v>9</v>
      </c>
      <c r="D50" s="12" t="s">
        <v>51</v>
      </c>
      <c r="E50" s="153" t="s">
        <v>156</v>
      </c>
      <c r="F50" s="226" t="s">
        <v>427</v>
      </c>
      <c r="G50" s="227"/>
      <c r="H50" s="186">
        <f>(C50/100)</f>
        <v>0.09</v>
      </c>
      <c r="I50" s="246">
        <f>J49</f>
        <v>2732.27</v>
      </c>
      <c r="J50" s="177">
        <f>(+J49*H50)</f>
        <v>245.9</v>
      </c>
      <c r="K50" s="173">
        <f>J50/V55</f>
        <v>0.0165</v>
      </c>
      <c r="L50" s="84"/>
      <c r="M50" s="197"/>
      <c r="N50" s="113"/>
      <c r="O50" s="113"/>
      <c r="P50" s="113"/>
      <c r="Q50" s="249"/>
      <c r="R50" s="250"/>
      <c r="S50" s="250"/>
      <c r="T50" s="250"/>
      <c r="U50" s="250"/>
      <c r="V50" s="250"/>
      <c r="W50" s="103"/>
    </row>
    <row r="51" spans="1:23" ht="13.5" thickBot="1">
      <c r="A51" s="197"/>
      <c r="B51" s="233"/>
      <c r="C51" s="161" t="s">
        <v>139</v>
      </c>
      <c r="D51" s="148"/>
      <c r="E51" s="148"/>
      <c r="F51" s="156"/>
      <c r="G51" s="113"/>
      <c r="H51" s="186"/>
      <c r="I51" s="179"/>
      <c r="J51" s="177"/>
      <c r="K51" s="238"/>
      <c r="L51" s="84"/>
      <c r="M51" s="197"/>
      <c r="N51" s="113"/>
      <c r="O51" s="113"/>
      <c r="P51" s="113"/>
      <c r="Q51" s="731" t="s">
        <v>422</v>
      </c>
      <c r="R51" s="251" t="s">
        <v>432</v>
      </c>
      <c r="S51" s="252"/>
      <c r="T51" s="252"/>
      <c r="U51" s="252"/>
      <c r="V51" s="253">
        <f>C9*V45</f>
        <v>11675.4</v>
      </c>
      <c r="W51" s="254">
        <f>V51/V55</f>
        <v>0.7833</v>
      </c>
    </row>
    <row r="52" spans="1:23" ht="13.5" thickBot="1">
      <c r="A52" s="197"/>
      <c r="B52" s="233"/>
      <c r="C52" s="161" t="s">
        <v>139</v>
      </c>
      <c r="D52" s="148"/>
      <c r="E52" s="153" t="s">
        <v>158</v>
      </c>
      <c r="F52" s="226" t="s">
        <v>162</v>
      </c>
      <c r="G52" s="113"/>
      <c r="H52" s="186"/>
      <c r="I52" s="179"/>
      <c r="J52" s="177">
        <f>SUM(J49:J50)</f>
        <v>2978.17</v>
      </c>
      <c r="K52" s="238"/>
      <c r="L52" s="84"/>
      <c r="M52" s="197"/>
      <c r="N52" s="113"/>
      <c r="O52" s="113"/>
      <c r="P52" s="113"/>
      <c r="Q52" s="732" t="s">
        <v>159</v>
      </c>
      <c r="R52" s="154" t="s">
        <v>164</v>
      </c>
      <c r="S52" s="113"/>
      <c r="T52" s="113"/>
      <c r="U52" s="154"/>
      <c r="V52" s="127">
        <f>J55</f>
        <v>3230.47</v>
      </c>
      <c r="W52" s="254">
        <f>V52/V55</f>
        <v>0.2167</v>
      </c>
    </row>
    <row r="53" spans="1:23" ht="12.75">
      <c r="A53" s="197"/>
      <c r="B53" s="233"/>
      <c r="C53" s="237">
        <f>(15%*C50)+(9%*C50)+3.65+2</f>
        <v>7.81</v>
      </c>
      <c r="D53" s="12" t="s">
        <v>51</v>
      </c>
      <c r="E53" s="153" t="s">
        <v>165</v>
      </c>
      <c r="F53" s="226" t="s">
        <v>151</v>
      </c>
      <c r="G53" s="227"/>
      <c r="H53" s="186">
        <f>(C53/100)</f>
        <v>0.0781</v>
      </c>
      <c r="I53" s="179"/>
      <c r="J53" s="177">
        <f>(+J55*H53)</f>
        <v>252.3</v>
      </c>
      <c r="K53" s="173">
        <f>J53/V55</f>
        <v>0.0169</v>
      </c>
      <c r="L53" s="84"/>
      <c r="M53" s="197"/>
      <c r="N53" s="113"/>
      <c r="O53" s="113"/>
      <c r="P53" s="113"/>
      <c r="Q53" s="431"/>
      <c r="R53" s="257"/>
      <c r="S53" s="110"/>
      <c r="T53" s="110"/>
      <c r="U53" s="116"/>
      <c r="V53" s="258"/>
      <c r="W53" s="103"/>
    </row>
    <row r="54" spans="1:23" ht="13.5" thickBot="1">
      <c r="A54" s="197"/>
      <c r="B54" s="233"/>
      <c r="C54" s="161" t="s">
        <v>139</v>
      </c>
      <c r="D54" s="148"/>
      <c r="E54" s="148"/>
      <c r="F54" s="156"/>
      <c r="G54" s="113"/>
      <c r="H54" s="148"/>
      <c r="I54" s="179"/>
      <c r="J54" s="177"/>
      <c r="K54" s="238"/>
      <c r="L54" s="84"/>
      <c r="M54" s="197"/>
      <c r="N54" s="113"/>
      <c r="O54" s="113"/>
      <c r="P54" s="113"/>
      <c r="Q54" s="197"/>
      <c r="R54" s="113"/>
      <c r="S54" s="113"/>
      <c r="T54" s="113"/>
      <c r="U54" s="113"/>
      <c r="V54" s="155"/>
      <c r="W54" s="259"/>
    </row>
    <row r="55" spans="1:23" ht="13.5" thickBot="1">
      <c r="A55" s="260"/>
      <c r="B55" s="261"/>
      <c r="C55" s="262" t="s">
        <v>139</v>
      </c>
      <c r="D55" s="263"/>
      <c r="E55" s="264" t="s">
        <v>161</v>
      </c>
      <c r="F55" s="265" t="s">
        <v>426</v>
      </c>
      <c r="G55" s="266"/>
      <c r="H55" s="266"/>
      <c r="I55" s="266"/>
      <c r="J55" s="267">
        <f>J52/(1-H53)</f>
        <v>3230.47</v>
      </c>
      <c r="K55" s="268">
        <f>J55/V55</f>
        <v>0.2167</v>
      </c>
      <c r="L55" s="84"/>
      <c r="M55" s="260"/>
      <c r="N55" s="269"/>
      <c r="O55" s="269"/>
      <c r="P55" s="269"/>
      <c r="Q55" s="305" t="s">
        <v>163</v>
      </c>
      <c r="R55" s="306" t="s">
        <v>423</v>
      </c>
      <c r="S55" s="307"/>
      <c r="T55" s="307"/>
      <c r="U55" s="306"/>
      <c r="V55" s="308">
        <f>V51+J55</f>
        <v>14905.87</v>
      </c>
      <c r="W55" s="274">
        <f>SUM(W51:W54)</f>
        <v>1</v>
      </c>
    </row>
    <row r="57" ht="15.75">
      <c r="A57" s="69" t="s">
        <v>169</v>
      </c>
    </row>
    <row r="59" spans="1:7" ht="15.75">
      <c r="A59" s="69" t="str">
        <f>'Trator de Esteira'!A61</f>
        <v>Patos de Minas-MG, 16 de Novembro de 2015.</v>
      </c>
      <c r="G59" s="13"/>
    </row>
    <row r="61" ht="12">
      <c r="A61" s="13"/>
    </row>
    <row r="62" spans="1:19" ht="15">
      <c r="A62" s="11"/>
      <c r="M62" s="11"/>
      <c r="S62" s="13"/>
    </row>
    <row r="63" spans="7:19" ht="15">
      <c r="G63" s="11"/>
      <c r="H63" s="11"/>
      <c r="I63" s="11"/>
      <c r="S63" s="11"/>
    </row>
    <row r="64" spans="7:19" ht="15">
      <c r="G64" s="11"/>
      <c r="H64" s="11"/>
      <c r="I64" s="11"/>
      <c r="S64" s="11"/>
    </row>
    <row r="70" spans="1:10" ht="12">
      <c r="A70" s="275"/>
      <c r="B70" s="275"/>
      <c r="C70" s="275"/>
      <c r="D70" s="275"/>
      <c r="E70" s="275"/>
      <c r="F70" s="275"/>
      <c r="G70" s="275"/>
      <c r="H70" s="275"/>
      <c r="I70" s="275"/>
      <c r="J70" s="275"/>
    </row>
    <row r="94" ht="2.25" customHeight="1"/>
    <row r="95" ht="12.75" customHeight="1"/>
    <row r="96" ht="0.75" customHeight="1"/>
    <row r="121" spans="12:15" ht="12.75">
      <c r="L121" s="276"/>
      <c r="M121" s="277"/>
      <c r="N121" s="276"/>
      <c r="O121" s="277"/>
    </row>
    <row r="122" spans="12:15" ht="12.75">
      <c r="L122" s="276"/>
      <c r="M122" s="276"/>
      <c r="N122" s="276"/>
      <c r="O122" s="278"/>
    </row>
    <row r="123" spans="12:15" ht="12.75">
      <c r="L123" s="276"/>
      <c r="M123" s="276"/>
      <c r="N123" s="276"/>
      <c r="O123" s="278"/>
    </row>
    <row r="124" spans="12:15" ht="12.75">
      <c r="L124" s="276"/>
      <c r="M124" s="276"/>
      <c r="N124" s="276"/>
      <c r="O124" s="278"/>
    </row>
    <row r="125" spans="12:15" ht="12.75">
      <c r="L125" s="2"/>
      <c r="M125" s="2"/>
      <c r="N125" s="2"/>
      <c r="O125" s="279"/>
    </row>
    <row r="126" spans="1:11" ht="12.75">
      <c r="A126" s="276"/>
      <c r="B126" s="276"/>
      <c r="C126" s="276"/>
      <c r="D126" s="276"/>
      <c r="E126" s="280"/>
      <c r="F126" s="280"/>
      <c r="G126" s="280"/>
      <c r="H126" s="280"/>
      <c r="I126" s="280"/>
      <c r="J126" s="280"/>
      <c r="K126" s="280"/>
    </row>
    <row r="127" spans="1:12" ht="12.75">
      <c r="A127" s="276"/>
      <c r="B127" s="276"/>
      <c r="C127" s="276"/>
      <c r="D127" s="276"/>
      <c r="E127" s="276"/>
      <c r="F127" s="276"/>
      <c r="G127" s="276"/>
      <c r="H127" s="276"/>
      <c r="I127" s="276"/>
      <c r="J127" s="281"/>
      <c r="K127" s="281"/>
      <c r="L127" s="178"/>
    </row>
    <row r="128" spans="1:11" ht="12.7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</row>
    <row r="129" spans="1:11" ht="12.7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</row>
    <row r="130" spans="1:11" ht="12.7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</row>
    <row r="131" spans="1:11" ht="12.7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</row>
    <row r="132" spans="1:12" ht="12.75">
      <c r="A132" s="2"/>
      <c r="B132" s="2"/>
      <c r="C132" s="2"/>
      <c r="D132" s="2"/>
      <c r="E132" s="282"/>
      <c r="F132" s="2"/>
      <c r="G132" s="2"/>
      <c r="H132" s="2"/>
      <c r="I132" s="2"/>
      <c r="J132" s="2"/>
      <c r="K132" s="2"/>
      <c r="L132" s="4"/>
    </row>
    <row r="133" spans="1:12" ht="12.75">
      <c r="A133" s="2"/>
      <c r="B133" s="2"/>
      <c r="C133" s="2"/>
      <c r="D133" s="2"/>
      <c r="E133" s="283"/>
      <c r="F133" s="283"/>
      <c r="G133" s="283"/>
      <c r="H133" s="283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83"/>
      <c r="B135" s="283"/>
      <c r="C135" s="283"/>
      <c r="D135" s="283"/>
      <c r="E135" s="283"/>
      <c r="F135" s="283"/>
      <c r="G135" s="283"/>
      <c r="H135" s="283"/>
      <c r="I135" s="283"/>
      <c r="J135" s="283"/>
      <c r="K135" s="283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5"/>
      <c r="C138" s="2"/>
      <c r="D138" s="279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5"/>
      <c r="C141" s="2"/>
      <c r="D141" s="279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1:12" ht="1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">
      <c r="A144" s="4"/>
      <c r="B144" s="6"/>
      <c r="C144" s="4"/>
      <c r="D144" s="284"/>
      <c r="E144" s="4"/>
      <c r="F144" s="4"/>
      <c r="G144" s="4"/>
      <c r="H144" s="4"/>
      <c r="I144" s="4"/>
      <c r="J144" s="4"/>
      <c r="K144" s="4"/>
      <c r="L144" s="4"/>
    </row>
    <row r="145" spans="1:12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4"/>
    </row>
    <row r="148" spans="1:12" ht="12">
      <c r="A148" s="4"/>
      <c r="B148" s="4"/>
      <c r="C148" s="6"/>
      <c r="D148" s="4"/>
      <c r="E148" s="4"/>
      <c r="F148" s="4"/>
      <c r="G148" s="285"/>
      <c r="H148" s="285"/>
      <c r="L148" s="4"/>
    </row>
    <row r="149" spans="1:12" ht="12">
      <c r="A149" s="7"/>
      <c r="B149" s="7"/>
      <c r="C149" s="7"/>
      <c r="D149" s="7"/>
      <c r="E149" s="7"/>
      <c r="F149" s="7"/>
      <c r="G149" s="7"/>
      <c r="H149" s="7"/>
      <c r="L149" s="4"/>
    </row>
    <row r="150" spans="1:12" ht="12">
      <c r="A150" s="4"/>
      <c r="B150" s="4"/>
      <c r="C150" s="4"/>
      <c r="D150" s="4"/>
      <c r="E150" s="4"/>
      <c r="F150" s="4"/>
      <c r="G150" s="4"/>
      <c r="H150" s="4"/>
      <c r="L150" s="4"/>
    </row>
    <row r="151" spans="1:12" ht="12">
      <c r="A151" s="4"/>
      <c r="B151" s="4"/>
      <c r="C151" s="4"/>
      <c r="D151" s="4"/>
      <c r="E151" s="4"/>
      <c r="F151" s="4"/>
      <c r="G151" s="4"/>
      <c r="H151" s="4"/>
      <c r="L151" s="4"/>
    </row>
    <row r="152" spans="2:12" ht="12">
      <c r="B152" s="286"/>
      <c r="C152" s="287"/>
      <c r="G152" s="288"/>
      <c r="H152" s="287"/>
      <c r="L152" s="4"/>
    </row>
    <row r="153" spans="7:12" ht="12">
      <c r="G153" s="289"/>
      <c r="L153" s="4"/>
    </row>
    <row r="154" spans="7:12" ht="12">
      <c r="G154" s="289"/>
      <c r="L154" s="4"/>
    </row>
    <row r="155" spans="2:12" ht="12">
      <c r="B155" s="286"/>
      <c r="C155" s="287"/>
      <c r="G155" s="288"/>
      <c r="H155" s="287"/>
      <c r="L155" s="4"/>
    </row>
    <row r="156" spans="7:12" ht="12">
      <c r="G156" s="29"/>
      <c r="L156" s="4"/>
    </row>
    <row r="157" spans="7:12" ht="12">
      <c r="G157" s="29"/>
      <c r="L157" s="4"/>
    </row>
    <row r="158" spans="2:12" ht="12">
      <c r="B158" s="3"/>
      <c r="C158" s="290"/>
      <c r="G158" s="288"/>
      <c r="H158" s="287"/>
      <c r="L158" s="4"/>
    </row>
    <row r="159" spans="7:12" ht="12">
      <c r="G159" s="29"/>
      <c r="L159" s="4"/>
    </row>
    <row r="160" spans="7:12" ht="12">
      <c r="G160" s="29"/>
      <c r="L160" s="4"/>
    </row>
    <row r="161" spans="2:12" ht="12">
      <c r="B161" s="3"/>
      <c r="C161" s="291"/>
      <c r="G161" s="288"/>
      <c r="H161" s="292"/>
      <c r="L161" s="4"/>
    </row>
    <row r="162" spans="10:12" ht="12">
      <c r="J162" s="4"/>
      <c r="K162" s="4"/>
      <c r="L162" s="4"/>
    </row>
    <row r="163" spans="1:12" ht="12">
      <c r="A163" s="293"/>
      <c r="B163" s="293"/>
      <c r="C163" s="293"/>
      <c r="D163" s="293"/>
      <c r="E163" s="293"/>
      <c r="F163" s="293"/>
      <c r="G163" s="293"/>
      <c r="H163" s="293"/>
      <c r="I163" s="293"/>
      <c r="J163" s="7"/>
      <c r="K163" s="7"/>
      <c r="L163" s="4"/>
    </row>
    <row r="164" spans="10:12" ht="12">
      <c r="J164" s="4"/>
      <c r="K164" s="4"/>
      <c r="L164" s="4"/>
    </row>
    <row r="165" spans="2:12" ht="12">
      <c r="B165" s="286"/>
      <c r="D165" s="292"/>
      <c r="J165" s="4"/>
      <c r="K165" s="4"/>
      <c r="L165" s="4"/>
    </row>
    <row r="166" spans="10:12" ht="12">
      <c r="J166" s="4"/>
      <c r="K166" s="4"/>
      <c r="L166" s="4"/>
    </row>
    <row r="167" spans="1:12" ht="12">
      <c r="A167" s="293"/>
      <c r="B167" s="293"/>
      <c r="C167" s="293"/>
      <c r="D167" s="293"/>
      <c r="E167" s="293"/>
      <c r="F167" s="293"/>
      <c r="G167" s="293"/>
      <c r="H167" s="293"/>
      <c r="I167" s="293"/>
      <c r="J167" s="7"/>
      <c r="K167" s="7"/>
      <c r="L167" s="4"/>
    </row>
    <row r="168" spans="1:12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</sheetData>
  <sheetProtection password="F184" sheet="1"/>
  <mergeCells count="6">
    <mergeCell ref="R32:S32"/>
    <mergeCell ref="F40:G40"/>
    <mergeCell ref="A1:K1"/>
    <mergeCell ref="M1:W1"/>
    <mergeCell ref="A5:J5"/>
    <mergeCell ref="R10:S10"/>
  </mergeCells>
  <printOptions horizontalCentered="1"/>
  <pageMargins left="0" right="0" top="0.7874015748031497" bottom="0.1968503937007874" header="0.1968503937007874" footer="0.1968503937007874"/>
  <pageSetup horizontalDpi="600" verticalDpi="600" orientation="landscape" paperSize="9" scale="55" r:id="rId1"/>
  <headerFooter alignWithMargins="0">
    <oddHeader>&amp;CPágina &amp;P de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0"/>
  <sheetViews>
    <sheetView zoomScalePageLayoutView="0" workbookViewId="0" topLeftCell="A10">
      <selection activeCell="D38" sqref="D38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25390625" style="1" customWidth="1"/>
    <col min="12" max="12" width="0.875" style="1" customWidth="1"/>
    <col min="13" max="22" width="11.00390625" style="1" customWidth="1"/>
    <col min="23" max="23" width="8.875" style="1" customWidth="1"/>
    <col min="24" max="16384" width="11.00390625" style="1" customWidth="1"/>
  </cols>
  <sheetData>
    <row r="1" spans="1:23" ht="22.5" customHeight="1" thickBot="1">
      <c r="A1" s="817" t="s">
        <v>305</v>
      </c>
      <c r="B1" s="818"/>
      <c r="C1" s="818"/>
      <c r="D1" s="818"/>
      <c r="E1" s="818"/>
      <c r="F1" s="818"/>
      <c r="G1" s="818"/>
      <c r="H1" s="818"/>
      <c r="I1" s="818"/>
      <c r="J1" s="818"/>
      <c r="K1" s="819"/>
      <c r="L1" s="84"/>
      <c r="M1" s="820" t="str">
        <f>A1</f>
        <v>CUSTO   DE   VEÍCULO   COLETA   HOSPITALAR</v>
      </c>
      <c r="N1" s="821"/>
      <c r="O1" s="821"/>
      <c r="P1" s="821"/>
      <c r="Q1" s="821"/>
      <c r="R1" s="821"/>
      <c r="S1" s="821"/>
      <c r="T1" s="821"/>
      <c r="U1" s="821"/>
      <c r="V1" s="821"/>
      <c r="W1" s="822"/>
    </row>
    <row r="2" spans="1:23" ht="20.25">
      <c r="A2" s="85" t="s">
        <v>49</v>
      </c>
      <c r="B2" s="86"/>
      <c r="C2" s="87"/>
      <c r="D2" s="86"/>
      <c r="E2" s="86"/>
      <c r="F2" s="86"/>
      <c r="G2" s="88"/>
      <c r="H2" s="86"/>
      <c r="I2" s="86"/>
      <c r="J2" s="86"/>
      <c r="K2" s="89"/>
      <c r="L2" s="84"/>
      <c r="M2" s="90" t="str">
        <f>A2</f>
        <v>DEMONSTRATIVO MENSAL DE CUSTO OPERACIONAL UNITÁRIO DE VEÍCULO </v>
      </c>
      <c r="N2" s="91"/>
      <c r="O2" s="91"/>
      <c r="P2" s="91"/>
      <c r="Q2" s="91"/>
      <c r="R2" s="91"/>
      <c r="S2" s="92"/>
      <c r="T2" s="91"/>
      <c r="U2" s="91"/>
      <c r="V2" s="91"/>
      <c r="W2" s="93"/>
    </row>
    <row r="3" spans="1:23" ht="21" thickBot="1">
      <c r="A3" s="94" t="s">
        <v>306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  <c r="L3" s="84"/>
      <c r="M3" s="98" t="s">
        <v>52</v>
      </c>
      <c r="N3" s="99"/>
      <c r="O3" s="99"/>
      <c r="P3" s="99"/>
      <c r="Q3" s="99"/>
      <c r="R3" s="99"/>
      <c r="S3" s="99"/>
      <c r="T3" s="99"/>
      <c r="U3" s="99"/>
      <c r="V3" s="99"/>
      <c r="W3" s="100" t="s">
        <v>51</v>
      </c>
    </row>
    <row r="4" spans="1:23" ht="12.7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84"/>
      <c r="M4" s="104" t="str">
        <f>A6</f>
        <v>Descrição do Veiculo: PICK UP  FURGÃO  FIORINO   ou   SIMILAR</v>
      </c>
      <c r="N4" s="105"/>
      <c r="O4" s="105"/>
      <c r="P4" s="105"/>
      <c r="Q4" s="105"/>
      <c r="R4" s="105"/>
      <c r="S4" s="105"/>
      <c r="T4" s="105"/>
      <c r="U4" s="105"/>
      <c r="V4" s="106"/>
      <c r="W4" s="107"/>
    </row>
    <row r="5" spans="1:23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  <c r="L5" s="84"/>
      <c r="M5" s="109" t="str">
        <f>A7</f>
        <v>Ano de Fabricação: 2005</v>
      </c>
      <c r="N5" s="110"/>
      <c r="O5" s="110" t="str">
        <f>A9</f>
        <v>Contratante:</v>
      </c>
      <c r="P5" s="111" t="str">
        <f>B9</f>
        <v>PREFEITURA   MUNICIPAL   DE   PATOS   DE   MINAS - MG</v>
      </c>
      <c r="Q5" s="112"/>
      <c r="R5" s="110"/>
      <c r="S5" s="110"/>
      <c r="T5" s="110"/>
      <c r="U5" s="110"/>
      <c r="V5" s="113"/>
      <c r="W5" s="103"/>
    </row>
    <row r="6" spans="1:23" ht="12.75">
      <c r="A6" s="104" t="s">
        <v>307</v>
      </c>
      <c r="B6" s="105"/>
      <c r="C6" s="105"/>
      <c r="D6" s="105"/>
      <c r="E6" s="114"/>
      <c r="F6" s="105"/>
      <c r="G6" s="105"/>
      <c r="H6" s="105"/>
      <c r="I6" s="105"/>
      <c r="J6" s="106"/>
      <c r="K6" s="115"/>
      <c r="L6" s="84"/>
      <c r="M6" s="109" t="str">
        <f>A8</f>
        <v>Tipo de Combustível: Gasolina</v>
      </c>
      <c r="N6" s="110"/>
      <c r="O6" s="110"/>
      <c r="P6" s="110"/>
      <c r="Q6" s="116"/>
      <c r="R6" s="110"/>
      <c r="S6" s="110"/>
      <c r="T6" s="110"/>
      <c r="U6" s="110"/>
      <c r="V6" s="113"/>
      <c r="W6" s="103"/>
    </row>
    <row r="7" spans="1:23" ht="12.75">
      <c r="A7" s="109" t="s">
        <v>55</v>
      </c>
      <c r="B7" s="110"/>
      <c r="C7" s="110"/>
      <c r="D7" s="110"/>
      <c r="E7" s="110"/>
      <c r="F7" s="110"/>
      <c r="G7" s="110"/>
      <c r="H7" s="110"/>
      <c r="I7" s="110"/>
      <c r="J7" s="113"/>
      <c r="K7" s="117"/>
      <c r="L7" s="84"/>
      <c r="M7" s="118" t="str">
        <f>A10</f>
        <v>Km Estimada: </v>
      </c>
      <c r="N7" s="113"/>
      <c r="O7" s="119">
        <f>C10</f>
        <v>1100</v>
      </c>
      <c r="P7" s="113" t="str">
        <f>D10</f>
        <v>Km</v>
      </c>
      <c r="Q7" s="113"/>
      <c r="R7" s="113"/>
      <c r="S7" s="113"/>
      <c r="T7" s="113"/>
      <c r="U7" s="113"/>
      <c r="V7" s="113"/>
      <c r="W7" s="103"/>
    </row>
    <row r="8" spans="1:23" ht="15.75">
      <c r="A8" s="109" t="s">
        <v>308</v>
      </c>
      <c r="B8" s="110"/>
      <c r="C8" s="110"/>
      <c r="D8" s="390" t="s">
        <v>309</v>
      </c>
      <c r="E8" s="391"/>
      <c r="F8" s="392">
        <f>140*22</f>
        <v>3080</v>
      </c>
      <c r="G8" s="336">
        <f>F8/8</f>
        <v>385</v>
      </c>
      <c r="H8" s="110" t="s">
        <v>57</v>
      </c>
      <c r="I8" s="120">
        <v>0</v>
      </c>
      <c r="J8" s="113"/>
      <c r="K8" s="117"/>
      <c r="L8" s="84"/>
      <c r="M8" s="121" t="str">
        <f>A11</f>
        <v>Horário: </v>
      </c>
      <c r="N8" s="122">
        <f>B11</f>
        <v>0.291666666666667</v>
      </c>
      <c r="O8" s="123" t="s">
        <v>58</v>
      </c>
      <c r="P8" s="137">
        <f>E11</f>
        <v>0.708333333333333</v>
      </c>
      <c r="Q8" s="124" t="s">
        <v>59</v>
      </c>
      <c r="R8" s="125"/>
      <c r="S8" s="126"/>
      <c r="T8" s="126"/>
      <c r="U8" s="126"/>
      <c r="V8" s="126"/>
      <c r="W8" s="103"/>
    </row>
    <row r="9" spans="1:23" ht="15.75">
      <c r="A9" s="109" t="s">
        <v>60</v>
      </c>
      <c r="B9" s="111" t="s">
        <v>61</v>
      </c>
      <c r="C9" s="110"/>
      <c r="D9" s="110"/>
      <c r="E9" s="110"/>
      <c r="F9" s="110"/>
      <c r="G9" s="110"/>
      <c r="H9" s="110"/>
      <c r="I9" s="120"/>
      <c r="J9" s="113"/>
      <c r="K9" s="117"/>
      <c r="L9" s="84"/>
      <c r="M9" s="118"/>
      <c r="N9" s="127"/>
      <c r="O9" s="128"/>
      <c r="P9" s="127"/>
      <c r="Q9" s="129"/>
      <c r="R9" s="127"/>
      <c r="S9" s="113"/>
      <c r="T9" s="113"/>
      <c r="U9" s="113"/>
      <c r="V9" s="113"/>
      <c r="W9" s="103"/>
    </row>
    <row r="10" spans="1:28" ht="12.75">
      <c r="A10" s="109" t="s">
        <v>62</v>
      </c>
      <c r="B10" s="130"/>
      <c r="C10" s="131">
        <f>25*2*22</f>
        <v>1100</v>
      </c>
      <c r="D10" s="110" t="s">
        <v>63</v>
      </c>
      <c r="E10" s="130"/>
      <c r="F10" s="130"/>
      <c r="G10" s="113"/>
      <c r="H10" s="113"/>
      <c r="I10" s="113"/>
      <c r="J10" s="113"/>
      <c r="K10" s="117"/>
      <c r="L10" s="84"/>
      <c r="M10" s="132"/>
      <c r="N10" s="133"/>
      <c r="O10" s="133"/>
      <c r="P10" s="133"/>
      <c r="Q10" s="133"/>
      <c r="R10" s="106"/>
      <c r="S10" s="134"/>
      <c r="T10" s="133"/>
      <c r="U10" s="135" t="s">
        <v>64</v>
      </c>
      <c r="V10" s="136"/>
      <c r="W10" s="103"/>
      <c r="AB10" s="1">
        <f>180.55*20</f>
        <v>3611</v>
      </c>
    </row>
    <row r="11" spans="1:28" ht="15.75">
      <c r="A11" s="393" t="s">
        <v>310</v>
      </c>
      <c r="B11" s="826">
        <v>0.291666666666667</v>
      </c>
      <c r="C11" s="826"/>
      <c r="D11" s="137" t="s">
        <v>58</v>
      </c>
      <c r="E11" s="394">
        <v>0.708333333333333</v>
      </c>
      <c r="F11" s="125" t="s">
        <v>59</v>
      </c>
      <c r="G11" s="126"/>
      <c r="H11" s="126"/>
      <c r="I11" s="126"/>
      <c r="J11" s="126"/>
      <c r="K11" s="117"/>
      <c r="L11" s="84"/>
      <c r="M11" s="16" t="s">
        <v>66</v>
      </c>
      <c r="N11" s="12" t="s">
        <v>67</v>
      </c>
      <c r="O11" s="12" t="s">
        <v>68</v>
      </c>
      <c r="P11" s="12" t="s">
        <v>67</v>
      </c>
      <c r="Q11" s="12" t="s">
        <v>69</v>
      </c>
      <c r="R11" s="815" t="s">
        <v>70</v>
      </c>
      <c r="S11" s="816"/>
      <c r="T11" s="12" t="s">
        <v>71</v>
      </c>
      <c r="U11" s="12" t="s">
        <v>72</v>
      </c>
      <c r="V11" s="138" t="s">
        <v>73</v>
      </c>
      <c r="W11" s="103"/>
      <c r="AB11" s="1">
        <f>1120.82*4</f>
        <v>4483.28</v>
      </c>
    </row>
    <row r="12" spans="1:23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  <c r="L12" s="84"/>
      <c r="M12" s="141"/>
      <c r="N12" s="142"/>
      <c r="O12" s="142"/>
      <c r="P12" s="142"/>
      <c r="Q12" s="142"/>
      <c r="R12" s="126"/>
      <c r="S12" s="143"/>
      <c r="T12" s="142"/>
      <c r="U12" s="144" t="s">
        <v>74</v>
      </c>
      <c r="V12" s="145"/>
      <c r="W12" s="146"/>
    </row>
    <row r="13" spans="1:28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  <c r="L13" s="84"/>
      <c r="M13" s="132"/>
      <c r="N13" s="133"/>
      <c r="O13" s="133"/>
      <c r="P13" s="148"/>
      <c r="Q13" s="148"/>
      <c r="R13" s="113"/>
      <c r="S13" s="113"/>
      <c r="T13" s="133"/>
      <c r="U13" s="148"/>
      <c r="V13" s="136"/>
      <c r="W13" s="103"/>
      <c r="AB13" s="1">
        <f>SUM(AB10:AB12)</f>
        <v>8094.28</v>
      </c>
    </row>
    <row r="14" spans="1:23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  <c r="L14" s="84"/>
      <c r="M14" s="152"/>
      <c r="N14" s="148"/>
      <c r="O14" s="148"/>
      <c r="P14" s="148"/>
      <c r="Q14" s="153" t="s">
        <v>77</v>
      </c>
      <c r="R14" s="154" t="s">
        <v>78</v>
      </c>
      <c r="S14" s="155"/>
      <c r="T14" s="148"/>
      <c r="U14" s="148"/>
      <c r="V14" s="138" t="s">
        <v>73</v>
      </c>
      <c r="W14" s="103"/>
    </row>
    <row r="15" spans="1:23" ht="12.75">
      <c r="A15" s="152"/>
      <c r="B15" s="148"/>
      <c r="C15" s="148"/>
      <c r="D15" s="148"/>
      <c r="E15" s="148"/>
      <c r="F15" s="148"/>
      <c r="G15" s="148"/>
      <c r="H15" s="148"/>
      <c r="I15" s="148"/>
      <c r="J15" s="156"/>
      <c r="K15" s="117"/>
      <c r="L15" s="84"/>
      <c r="M15" s="152"/>
      <c r="N15" s="148"/>
      <c r="O15" s="148"/>
      <c r="P15" s="148"/>
      <c r="Q15" s="148"/>
      <c r="R15" s="113"/>
      <c r="S15" s="155"/>
      <c r="T15" s="148"/>
      <c r="U15" s="157"/>
      <c r="V15" s="156"/>
      <c r="W15" s="103"/>
    </row>
    <row r="16" spans="1:23" ht="12.75">
      <c r="A16" s="152"/>
      <c r="B16" s="148"/>
      <c r="C16" s="148"/>
      <c r="D16" s="148"/>
      <c r="E16" s="148"/>
      <c r="F16" s="153" t="s">
        <v>79</v>
      </c>
      <c r="G16" s="12" t="s">
        <v>80</v>
      </c>
      <c r="H16" s="148"/>
      <c r="I16" s="148"/>
      <c r="J16" s="156"/>
      <c r="K16" s="117"/>
      <c r="L16" s="84"/>
      <c r="M16" s="158">
        <v>6</v>
      </c>
      <c r="N16" s="12" t="s">
        <v>81</v>
      </c>
      <c r="O16" s="159">
        <v>1000000</v>
      </c>
      <c r="P16" s="12" t="s">
        <v>63</v>
      </c>
      <c r="Q16" s="153" t="s">
        <v>82</v>
      </c>
      <c r="R16" s="154" t="s">
        <v>83</v>
      </c>
      <c r="S16" s="155"/>
      <c r="T16" s="160">
        <f>(M16/O16)</f>
        <v>6E-06</v>
      </c>
      <c r="U16" s="161">
        <f>I18</f>
        <v>13880</v>
      </c>
      <c r="V16" s="162">
        <f aca="true" t="shared" si="0" ref="V16:V22">(+U16*T16)</f>
        <v>0.0833</v>
      </c>
      <c r="W16" s="163">
        <f>V16*C10/V63</f>
        <v>0.065</v>
      </c>
    </row>
    <row r="17" spans="1:23" ht="12.75">
      <c r="A17" s="152"/>
      <c r="B17" s="148"/>
      <c r="C17" s="148"/>
      <c r="D17" s="148"/>
      <c r="E17" s="148"/>
      <c r="F17" s="148"/>
      <c r="G17" s="148"/>
      <c r="H17" s="148"/>
      <c r="I17" s="148"/>
      <c r="J17" s="156"/>
      <c r="K17" s="117"/>
      <c r="L17" s="84"/>
      <c r="M17" s="164">
        <v>20</v>
      </c>
      <c r="N17" s="12" t="s">
        <v>51</v>
      </c>
      <c r="O17" s="159" t="s">
        <v>84</v>
      </c>
      <c r="P17" s="165" t="s">
        <v>84</v>
      </c>
      <c r="Q17" s="153" t="s">
        <v>85</v>
      </c>
      <c r="R17" s="154" t="s">
        <v>86</v>
      </c>
      <c r="S17" s="155"/>
      <c r="T17" s="160">
        <f>(+M17/100)</f>
        <v>0.2</v>
      </c>
      <c r="U17" s="166">
        <f>V16</f>
        <v>0.0833</v>
      </c>
      <c r="V17" s="162">
        <f t="shared" si="0"/>
        <v>0.0167</v>
      </c>
      <c r="W17" s="163">
        <f>V17*C10/V63</f>
        <v>0.013</v>
      </c>
    </row>
    <row r="18" spans="1:26" ht="12.75">
      <c r="A18" s="167">
        <v>100</v>
      </c>
      <c r="B18" s="168" t="s">
        <v>51</v>
      </c>
      <c r="C18" s="255">
        <f>12*8</f>
        <v>96</v>
      </c>
      <c r="D18" s="12" t="s">
        <v>87</v>
      </c>
      <c r="E18" s="170" t="s">
        <v>88</v>
      </c>
      <c r="F18" s="170" t="s">
        <v>89</v>
      </c>
      <c r="G18" s="170" t="s">
        <v>90</v>
      </c>
      <c r="H18" s="171">
        <f>(+A18/C18)/100</f>
        <v>0.0104167</v>
      </c>
      <c r="I18" s="169">
        <f>I20-(M18*U18)</f>
        <v>13880</v>
      </c>
      <c r="J18" s="172">
        <f>(H18*I18)</f>
        <v>144.58</v>
      </c>
      <c r="K18" s="173">
        <f>J18/V63</f>
        <v>0.1025</v>
      </c>
      <c r="L18" s="84"/>
      <c r="M18" s="174">
        <v>4</v>
      </c>
      <c r="N18" s="12" t="s">
        <v>91</v>
      </c>
      <c r="O18" s="175">
        <v>45000</v>
      </c>
      <c r="P18" s="12" t="s">
        <v>63</v>
      </c>
      <c r="Q18" s="153" t="s">
        <v>92</v>
      </c>
      <c r="R18" s="116" t="s">
        <v>93</v>
      </c>
      <c r="S18" s="112"/>
      <c r="T18" s="160">
        <f>(+M18/O18)</f>
        <v>8.89E-05</v>
      </c>
      <c r="U18" s="255">
        <v>280</v>
      </c>
      <c r="V18" s="162">
        <f t="shared" si="0"/>
        <v>0.0249</v>
      </c>
      <c r="W18" s="163">
        <f>V18*C10/V63</f>
        <v>0.0194</v>
      </c>
      <c r="Z18" s="1">
        <f>180.55*25</f>
        <v>4513.75</v>
      </c>
    </row>
    <row r="19" spans="1:26" ht="12.75">
      <c r="A19" s="176">
        <f>A18</f>
        <v>100</v>
      </c>
      <c r="B19" s="12" t="s">
        <v>51</v>
      </c>
      <c r="C19" s="161">
        <f>C18</f>
        <v>96</v>
      </c>
      <c r="D19" s="12" t="s">
        <v>87</v>
      </c>
      <c r="E19" s="153" t="s">
        <v>88</v>
      </c>
      <c r="F19" s="153" t="s">
        <v>94</v>
      </c>
      <c r="G19" s="153" t="s">
        <v>95</v>
      </c>
      <c r="H19" s="160">
        <f>(+A19/C19)/100</f>
        <v>0.0104167</v>
      </c>
      <c r="I19" s="161">
        <f>I18*I8</f>
        <v>0</v>
      </c>
      <c r="J19" s="172">
        <f>(H19*I19)</f>
        <v>0</v>
      </c>
      <c r="K19" s="173" t="s">
        <v>96</v>
      </c>
      <c r="L19" s="84"/>
      <c r="M19" s="174">
        <v>1</v>
      </c>
      <c r="N19" s="12" t="s">
        <v>97</v>
      </c>
      <c r="O19" s="237">
        <v>10.5</v>
      </c>
      <c r="P19" s="12" t="s">
        <v>63</v>
      </c>
      <c r="Q19" s="153" t="s">
        <v>98</v>
      </c>
      <c r="R19" s="116" t="s">
        <v>99</v>
      </c>
      <c r="S19" s="112"/>
      <c r="T19" s="160">
        <f>(+M19/O19)</f>
        <v>0.0952381</v>
      </c>
      <c r="U19" s="255">
        <v>3.18</v>
      </c>
      <c r="V19" s="162">
        <f t="shared" si="0"/>
        <v>0.3029</v>
      </c>
      <c r="W19" s="163">
        <f>V19*C10/V63</f>
        <v>0.2362</v>
      </c>
      <c r="Z19" s="1">
        <f>1120.82</f>
        <v>1120.82</v>
      </c>
    </row>
    <row r="20" spans="1:26" ht="12.75">
      <c r="A20" s="766">
        <v>18</v>
      </c>
      <c r="B20" s="168" t="s">
        <v>51</v>
      </c>
      <c r="C20" s="169">
        <v>12</v>
      </c>
      <c r="D20" s="12" t="s">
        <v>87</v>
      </c>
      <c r="E20" s="170" t="s">
        <v>88</v>
      </c>
      <c r="F20" s="170" t="s">
        <v>100</v>
      </c>
      <c r="G20" s="170" t="s">
        <v>101</v>
      </c>
      <c r="H20" s="171">
        <f>(+A20/C20)/100</f>
        <v>0.015</v>
      </c>
      <c r="I20" s="255">
        <v>15000</v>
      </c>
      <c r="J20" s="172">
        <f>(H20*I20)</f>
        <v>225</v>
      </c>
      <c r="K20" s="173">
        <f>J20/V63</f>
        <v>0.1595</v>
      </c>
      <c r="L20" s="84"/>
      <c r="M20" s="174">
        <v>5</v>
      </c>
      <c r="N20" s="12" t="s">
        <v>97</v>
      </c>
      <c r="O20" s="159">
        <v>5000</v>
      </c>
      <c r="P20" s="12" t="s">
        <v>63</v>
      </c>
      <c r="Q20" s="153" t="s">
        <v>102</v>
      </c>
      <c r="R20" s="154" t="s">
        <v>103</v>
      </c>
      <c r="S20" s="155"/>
      <c r="T20" s="160">
        <f>(+M20/O20)</f>
        <v>0.001</v>
      </c>
      <c r="U20" s="255">
        <v>18</v>
      </c>
      <c r="V20" s="162">
        <f t="shared" si="0"/>
        <v>0.018</v>
      </c>
      <c r="W20" s="163">
        <f>V20*C10/V63</f>
        <v>0.014</v>
      </c>
      <c r="Z20" s="1">
        <f>SUM(Z18:Z19)</f>
        <v>5634.57</v>
      </c>
    </row>
    <row r="21" spans="1:23" ht="12.75">
      <c r="A21" s="176">
        <f>A20</f>
        <v>18</v>
      </c>
      <c r="B21" s="12" t="s">
        <v>51</v>
      </c>
      <c r="C21" s="161">
        <f>C20</f>
        <v>12</v>
      </c>
      <c r="D21" s="12" t="s">
        <v>87</v>
      </c>
      <c r="E21" s="153" t="s">
        <v>88</v>
      </c>
      <c r="F21" s="153" t="s">
        <v>104</v>
      </c>
      <c r="G21" s="153" t="s">
        <v>105</v>
      </c>
      <c r="H21" s="160">
        <f>(+A21/C21)/100</f>
        <v>0.015</v>
      </c>
      <c r="I21" s="161">
        <f>I20*I8</f>
        <v>0</v>
      </c>
      <c r="J21" s="172">
        <f>(H21*I21)</f>
        <v>0</v>
      </c>
      <c r="K21" s="173" t="s">
        <v>96</v>
      </c>
      <c r="L21" s="84"/>
      <c r="M21" s="174">
        <v>6</v>
      </c>
      <c r="N21" s="12" t="s">
        <v>97</v>
      </c>
      <c r="O21" s="159">
        <v>30000</v>
      </c>
      <c r="P21" s="12" t="s">
        <v>63</v>
      </c>
      <c r="Q21" s="153" t="s">
        <v>106</v>
      </c>
      <c r="R21" s="154" t="s">
        <v>107</v>
      </c>
      <c r="S21" s="155"/>
      <c r="T21" s="160">
        <f>(+M21/O21)</f>
        <v>0.0002</v>
      </c>
      <c r="U21" s="255">
        <v>22</v>
      </c>
      <c r="V21" s="162">
        <f t="shared" si="0"/>
        <v>0.0044</v>
      </c>
      <c r="W21" s="163">
        <f>V21*C10/V63</f>
        <v>0.0034</v>
      </c>
    </row>
    <row r="22" spans="1:26" ht="12.75">
      <c r="A22" s="176">
        <v>1</v>
      </c>
      <c r="B22" s="12" t="s">
        <v>108</v>
      </c>
      <c r="C22" s="161">
        <v>12</v>
      </c>
      <c r="D22" s="12" t="s">
        <v>87</v>
      </c>
      <c r="E22" s="153" t="s">
        <v>88</v>
      </c>
      <c r="F22" s="153" t="s">
        <v>109</v>
      </c>
      <c r="G22" s="153" t="s">
        <v>110</v>
      </c>
      <c r="H22" s="160">
        <f>A22/C22</f>
        <v>0.0833333</v>
      </c>
      <c r="I22" s="169">
        <v>77</v>
      </c>
      <c r="J22" s="177">
        <f>(I22*H22)</f>
        <v>6.42</v>
      </c>
      <c r="K22" s="173">
        <f>J22/V63</f>
        <v>0.0046</v>
      </c>
      <c r="L22" s="84"/>
      <c r="M22" s="174">
        <v>1</v>
      </c>
      <c r="N22" s="12" t="s">
        <v>91</v>
      </c>
      <c r="O22" s="159">
        <v>1000</v>
      </c>
      <c r="P22" s="12" t="s">
        <v>63</v>
      </c>
      <c r="Q22" s="153" t="s">
        <v>111</v>
      </c>
      <c r="R22" s="154" t="s">
        <v>112</v>
      </c>
      <c r="S22" s="155"/>
      <c r="T22" s="160">
        <f>(+M22/O22)</f>
        <v>0.001</v>
      </c>
      <c r="U22" s="255">
        <v>100</v>
      </c>
      <c r="V22" s="162">
        <f t="shared" si="0"/>
        <v>0.1</v>
      </c>
      <c r="W22" s="163">
        <f>V22*C10/V63</f>
        <v>0.078</v>
      </c>
      <c r="Z22" s="178">
        <f>Z20/25</f>
        <v>225.38</v>
      </c>
    </row>
    <row r="23" spans="1:23" ht="12.75">
      <c r="A23" s="176">
        <v>1</v>
      </c>
      <c r="B23" s="12" t="s">
        <v>108</v>
      </c>
      <c r="C23" s="161">
        <v>12</v>
      </c>
      <c r="D23" s="12" t="s">
        <v>87</v>
      </c>
      <c r="E23" s="153" t="s">
        <v>88</v>
      </c>
      <c r="F23" s="153" t="s">
        <v>113</v>
      </c>
      <c r="G23" s="153" t="s">
        <v>114</v>
      </c>
      <c r="H23" s="160">
        <f>A23/C23</f>
        <v>0.0833333</v>
      </c>
      <c r="I23" s="169">
        <v>450</v>
      </c>
      <c r="J23" s="177">
        <f>(I23*H23)</f>
        <v>37.5</v>
      </c>
      <c r="K23" s="173">
        <f>J23/V63</f>
        <v>0.0266</v>
      </c>
      <c r="L23" s="84"/>
      <c r="M23" s="174"/>
      <c r="N23" s="148"/>
      <c r="O23" s="159"/>
      <c r="P23" s="148"/>
      <c r="Q23" s="148"/>
      <c r="R23" s="113"/>
      <c r="S23" s="155"/>
      <c r="T23" s="179"/>
      <c r="U23" s="161"/>
      <c r="V23" s="162"/>
      <c r="W23" s="146"/>
    </row>
    <row r="24" spans="1:23" ht="12.75">
      <c r="A24" s="395">
        <v>0.05</v>
      </c>
      <c r="B24" s="12" t="s">
        <v>115</v>
      </c>
      <c r="C24" s="161">
        <v>12</v>
      </c>
      <c r="D24" s="12" t="s">
        <v>87</v>
      </c>
      <c r="E24" s="153" t="s">
        <v>88</v>
      </c>
      <c r="F24" s="153" t="s">
        <v>116</v>
      </c>
      <c r="G24" s="153" t="s">
        <v>492</v>
      </c>
      <c r="H24" s="160">
        <f>1/12</f>
        <v>0.0833333</v>
      </c>
      <c r="I24" s="169">
        <f>I20</f>
        <v>15000</v>
      </c>
      <c r="J24" s="177">
        <f>(I24*A24)/12</f>
        <v>62.5</v>
      </c>
      <c r="K24" s="173">
        <f>J24/V63</f>
        <v>0.0443</v>
      </c>
      <c r="L24" s="84"/>
      <c r="M24" s="180"/>
      <c r="N24" s="148"/>
      <c r="O24" s="179"/>
      <c r="P24" s="148"/>
      <c r="Q24" s="153" t="s">
        <v>118</v>
      </c>
      <c r="R24" s="181" t="s">
        <v>119</v>
      </c>
      <c r="S24" s="182"/>
      <c r="T24" s="106"/>
      <c r="U24" s="134"/>
      <c r="V24" s="183">
        <f>SUM(V16:V22)</f>
        <v>0.5502</v>
      </c>
      <c r="W24" s="184">
        <f>V24*C10/V63</f>
        <v>0.429</v>
      </c>
    </row>
    <row r="25" spans="1:23" ht="12.75">
      <c r="A25" s="176"/>
      <c r="B25" s="12"/>
      <c r="C25" s="161"/>
      <c r="D25" s="12"/>
      <c r="E25" s="153"/>
      <c r="F25" s="153"/>
      <c r="G25" s="153"/>
      <c r="H25" s="160"/>
      <c r="I25" s="169"/>
      <c r="J25" s="177"/>
      <c r="K25" s="173"/>
      <c r="L25" s="84"/>
      <c r="M25" s="396"/>
      <c r="N25" s="106"/>
      <c r="O25" s="397"/>
      <c r="P25" s="106"/>
      <c r="Q25" s="398"/>
      <c r="R25" s="398"/>
      <c r="S25" s="182"/>
      <c r="T25" s="106"/>
      <c r="U25" s="106"/>
      <c r="V25" s="399"/>
      <c r="W25" s="400"/>
    </row>
    <row r="26" spans="1:23" ht="12.75">
      <c r="A26" s="185"/>
      <c r="B26" s="148"/>
      <c r="C26" s="161"/>
      <c r="D26" s="148"/>
      <c r="E26" s="148"/>
      <c r="F26" s="148"/>
      <c r="G26" s="148"/>
      <c r="H26" s="186"/>
      <c r="I26" s="179"/>
      <c r="J26" s="187"/>
      <c r="K26" s="117"/>
      <c r="L26" s="84"/>
      <c r="M26" s="156"/>
      <c r="N26" s="113"/>
      <c r="O26" s="113"/>
      <c r="P26" s="113"/>
      <c r="Q26" s="155"/>
      <c r="R26" s="155"/>
      <c r="S26" s="155"/>
      <c r="T26" s="113"/>
      <c r="U26" s="127"/>
      <c r="V26" s="401"/>
      <c r="W26" s="191"/>
    </row>
    <row r="27" spans="1:23" ht="12.75">
      <c r="A27" s="185"/>
      <c r="B27" s="148"/>
      <c r="C27" s="161"/>
      <c r="D27" s="148"/>
      <c r="E27" s="148"/>
      <c r="F27" s="153" t="s">
        <v>120</v>
      </c>
      <c r="G27" s="153" t="s">
        <v>121</v>
      </c>
      <c r="H27" s="186"/>
      <c r="I27" s="179"/>
      <c r="J27" s="177">
        <f>SUM(J18:J25)</f>
        <v>476</v>
      </c>
      <c r="K27" s="192"/>
      <c r="L27" s="84"/>
      <c r="M27" s="297"/>
      <c r="N27" s="194"/>
      <c r="O27" s="194"/>
      <c r="P27" s="194"/>
      <c r="Q27" s="194"/>
      <c r="R27" s="194"/>
      <c r="S27" s="194"/>
      <c r="T27" s="194"/>
      <c r="U27" s="194"/>
      <c r="V27" s="32"/>
      <c r="W27" s="191"/>
    </row>
    <row r="28" spans="1:23" ht="12.75">
      <c r="A28" s="176">
        <v>100</v>
      </c>
      <c r="B28" s="12" t="s">
        <v>51</v>
      </c>
      <c r="C28" s="161">
        <v>1</v>
      </c>
      <c r="D28" s="12" t="s">
        <v>87</v>
      </c>
      <c r="E28" s="153" t="s">
        <v>88</v>
      </c>
      <c r="F28" s="148"/>
      <c r="G28" s="12" t="s">
        <v>122</v>
      </c>
      <c r="H28" s="195">
        <f>(+A28/C28)/100</f>
        <v>1</v>
      </c>
      <c r="I28" s="161"/>
      <c r="J28" s="177">
        <f>J27*H28</f>
        <v>476</v>
      </c>
      <c r="K28" s="196">
        <f>J28/V63</f>
        <v>0.3374</v>
      </c>
      <c r="L28" s="84"/>
      <c r="M28" s="156"/>
      <c r="N28" s="113"/>
      <c r="O28" s="113"/>
      <c r="P28" s="113"/>
      <c r="Q28" s="113"/>
      <c r="R28" s="113"/>
      <c r="S28" s="113"/>
      <c r="T28" s="113"/>
      <c r="U28" s="127"/>
      <c r="V28" s="198"/>
      <c r="W28" s="191"/>
    </row>
    <row r="29" spans="1:23" ht="12.75">
      <c r="A29" s="185"/>
      <c r="B29" s="148"/>
      <c r="C29" s="161"/>
      <c r="D29" s="148"/>
      <c r="E29" s="148"/>
      <c r="F29" s="148"/>
      <c r="G29" s="148"/>
      <c r="H29" s="195"/>
      <c r="I29" s="161"/>
      <c r="J29" s="177"/>
      <c r="K29" s="192"/>
      <c r="L29" s="84"/>
      <c r="M29" s="145"/>
      <c r="N29" s="126"/>
      <c r="O29" s="126"/>
      <c r="P29" s="126"/>
      <c r="Q29" s="126"/>
      <c r="R29" s="126"/>
      <c r="S29" s="126"/>
      <c r="T29" s="126"/>
      <c r="U29" s="125"/>
      <c r="V29" s="402"/>
      <c r="W29" s="191"/>
    </row>
    <row r="30" spans="1:23" ht="12.75">
      <c r="A30" s="403"/>
      <c r="B30" s="404"/>
      <c r="C30" s="405"/>
      <c r="D30" s="404"/>
      <c r="E30" s="405"/>
      <c r="F30" s="406"/>
      <c r="G30" s="406"/>
      <c r="H30" s="407"/>
      <c r="I30" s="408"/>
      <c r="J30" s="409"/>
      <c r="K30" s="410"/>
      <c r="L30" s="84"/>
      <c r="M30" s="197"/>
      <c r="N30" s="113"/>
      <c r="O30" s="113"/>
      <c r="P30" s="113"/>
      <c r="Q30" s="113"/>
      <c r="R30" s="113"/>
      <c r="S30" s="113"/>
      <c r="T30" s="113"/>
      <c r="U30" s="127"/>
      <c r="V30" s="127"/>
      <c r="W30" s="103"/>
    </row>
    <row r="31" spans="1:23" ht="12.75">
      <c r="A31" s="176">
        <v>1</v>
      </c>
      <c r="B31" s="12" t="s">
        <v>202</v>
      </c>
      <c r="C31" s="159">
        <v>120</v>
      </c>
      <c r="D31" s="12" t="s">
        <v>87</v>
      </c>
      <c r="E31" s="159">
        <v>1</v>
      </c>
      <c r="F31" s="153" t="s">
        <v>125</v>
      </c>
      <c r="G31" s="153" t="s">
        <v>311</v>
      </c>
      <c r="H31" s="411">
        <f>A31/C31</f>
        <v>0.008333</v>
      </c>
      <c r="I31" s="169">
        <v>3100</v>
      </c>
      <c r="J31" s="177">
        <f>(+I31*H31)</f>
        <v>25.83</v>
      </c>
      <c r="K31" s="173">
        <f>J31/V63</f>
        <v>0.0183</v>
      </c>
      <c r="L31" s="84"/>
      <c r="M31" s="101"/>
      <c r="N31" s="102"/>
      <c r="O31" s="102"/>
      <c r="P31" s="102"/>
      <c r="Q31" s="102"/>
      <c r="R31" s="102"/>
      <c r="S31" s="102"/>
      <c r="T31" s="102"/>
      <c r="U31" s="102"/>
      <c r="V31" s="102"/>
      <c r="W31" s="103"/>
    </row>
    <row r="32" spans="1:23" ht="12.75">
      <c r="A32" s="101"/>
      <c r="B32" s="212"/>
      <c r="C32" s="212"/>
      <c r="D32" s="212"/>
      <c r="E32" s="212"/>
      <c r="F32" s="212"/>
      <c r="G32" s="212"/>
      <c r="H32" s="212"/>
      <c r="I32" s="212"/>
      <c r="J32" s="212"/>
      <c r="K32" s="93"/>
      <c r="L32" s="84"/>
      <c r="M32" s="301"/>
      <c r="N32" s="302"/>
      <c r="O32" s="302"/>
      <c r="P32" s="302"/>
      <c r="Q32" s="303"/>
      <c r="R32" s="302"/>
      <c r="S32" s="302"/>
      <c r="T32" s="302"/>
      <c r="U32" s="304"/>
      <c r="V32" s="302"/>
      <c r="W32" s="93"/>
    </row>
    <row r="33" spans="1:23" ht="20.25">
      <c r="A33" s="167">
        <v>1</v>
      </c>
      <c r="B33" s="168" t="s">
        <v>123</v>
      </c>
      <c r="C33" s="175">
        <f>C10</f>
        <v>1100</v>
      </c>
      <c r="D33" s="168" t="s">
        <v>124</v>
      </c>
      <c r="E33" s="216">
        <f>(+C33*H33)</f>
        <v>11</v>
      </c>
      <c r="F33" s="170" t="s">
        <v>132</v>
      </c>
      <c r="G33" s="202" t="s">
        <v>126</v>
      </c>
      <c r="H33" s="199">
        <f>(+A33/100)</f>
        <v>0.01</v>
      </c>
      <c r="I33" s="203">
        <f>V24</f>
        <v>0.5502</v>
      </c>
      <c r="J33" s="172">
        <f>(+E33*I33)</f>
        <v>6.05</v>
      </c>
      <c r="K33" s="173">
        <f>J33/V63</f>
        <v>0.0043</v>
      </c>
      <c r="L33" s="84"/>
      <c r="M33" s="94" t="s">
        <v>127</v>
      </c>
      <c r="N33" s="95"/>
      <c r="O33" s="95"/>
      <c r="P33" s="95"/>
      <c r="Q33" s="95"/>
      <c r="R33" s="95"/>
      <c r="S33" s="95"/>
      <c r="T33" s="95"/>
      <c r="U33" s="95"/>
      <c r="V33" s="208"/>
      <c r="W33" s="93"/>
    </row>
    <row r="34" spans="1:23" ht="12.75">
      <c r="A34" s="176"/>
      <c r="B34" s="12"/>
      <c r="C34" s="177"/>
      <c r="D34" s="12"/>
      <c r="E34" s="159"/>
      <c r="F34" s="153"/>
      <c r="G34" s="153"/>
      <c r="H34" s="195"/>
      <c r="I34" s="169"/>
      <c r="J34" s="177"/>
      <c r="K34" s="173"/>
      <c r="L34" s="84"/>
      <c r="M34" s="209"/>
      <c r="N34" s="210"/>
      <c r="O34" s="210"/>
      <c r="P34" s="210"/>
      <c r="Q34" s="210"/>
      <c r="R34" s="210"/>
      <c r="S34" s="210"/>
      <c r="T34" s="210"/>
      <c r="U34" s="210"/>
      <c r="V34" s="210"/>
      <c r="W34" s="93"/>
    </row>
    <row r="35" spans="1:23" ht="12.75">
      <c r="A35" s="174"/>
      <c r="B35" s="148"/>
      <c r="C35" s="161"/>
      <c r="D35" s="148"/>
      <c r="E35" s="148"/>
      <c r="F35" s="170" t="s">
        <v>203</v>
      </c>
      <c r="G35" s="148" t="s">
        <v>445</v>
      </c>
      <c r="H35" s="186"/>
      <c r="I35" s="157"/>
      <c r="J35" s="177">
        <f>SUM(J28:J34)</f>
        <v>507.88</v>
      </c>
      <c r="K35" s="173"/>
      <c r="L35" s="84"/>
      <c r="M35" s="188"/>
      <c r="N35" s="106"/>
      <c r="O35" s="133"/>
      <c r="P35" s="133"/>
      <c r="Q35" s="133"/>
      <c r="R35" s="136"/>
      <c r="S35" s="134"/>
      <c r="T35" s="133"/>
      <c r="U35" s="135" t="s">
        <v>64</v>
      </c>
      <c r="V35" s="211"/>
      <c r="W35" s="93"/>
    </row>
    <row r="36" spans="1:23" ht="12.75">
      <c r="A36" s="174"/>
      <c r="B36" s="148"/>
      <c r="C36" s="161"/>
      <c r="D36" s="148"/>
      <c r="E36" s="424"/>
      <c r="F36" s="170"/>
      <c r="G36" s="170"/>
      <c r="H36" s="423"/>
      <c r="I36" s="428"/>
      <c r="J36" s="425"/>
      <c r="K36" s="173"/>
      <c r="L36" s="84"/>
      <c r="M36" s="197"/>
      <c r="N36" s="113"/>
      <c r="O36" s="148"/>
      <c r="P36" s="148"/>
      <c r="Q36" s="148"/>
      <c r="R36" s="156"/>
      <c r="S36" s="233"/>
      <c r="T36" s="148"/>
      <c r="U36" s="179"/>
      <c r="V36" s="298"/>
      <c r="W36" s="93"/>
    </row>
    <row r="37" spans="1:23" ht="12.75">
      <c r="A37" s="760">
        <v>3.5</v>
      </c>
      <c r="B37" s="168" t="s">
        <v>198</v>
      </c>
      <c r="C37" s="161"/>
      <c r="D37" s="12"/>
      <c r="E37" s="424"/>
      <c r="F37" s="170" t="s">
        <v>451</v>
      </c>
      <c r="G37" s="226" t="s">
        <v>448</v>
      </c>
      <c r="H37" s="186">
        <f>A37/100</f>
        <v>0.035</v>
      </c>
      <c r="I37" s="246">
        <f>J35</f>
        <v>507.88</v>
      </c>
      <c r="J37" s="172">
        <f>H37*I37</f>
        <v>17.78</v>
      </c>
      <c r="K37" s="173">
        <f>J37/V63</f>
        <v>0.0126</v>
      </c>
      <c r="L37" s="84"/>
      <c r="M37" s="197"/>
      <c r="N37" s="113"/>
      <c r="O37" s="148"/>
      <c r="P37" s="148"/>
      <c r="Q37" s="148"/>
      <c r="R37" s="156"/>
      <c r="S37" s="233"/>
      <c r="T37" s="148"/>
      <c r="U37" s="179"/>
      <c r="V37" s="298"/>
      <c r="W37" s="93"/>
    </row>
    <row r="38" spans="1:23" ht="12.75">
      <c r="A38" s="176"/>
      <c r="B38" s="12"/>
      <c r="C38" s="161"/>
      <c r="D38" s="12"/>
      <c r="E38" s="159"/>
      <c r="F38" s="153"/>
      <c r="G38" s="153"/>
      <c r="H38" s="195"/>
      <c r="I38" s="169"/>
      <c r="J38" s="177"/>
      <c r="K38" s="173"/>
      <c r="L38" s="84"/>
      <c r="M38" s="197"/>
      <c r="N38" s="113"/>
      <c r="O38" s="148"/>
      <c r="P38" s="148"/>
      <c r="Q38" s="148"/>
      <c r="R38" s="156"/>
      <c r="S38" s="233"/>
      <c r="T38" s="148"/>
      <c r="U38" s="179"/>
      <c r="V38" s="298"/>
      <c r="W38" s="93"/>
    </row>
    <row r="39" spans="1:23" ht="12.75">
      <c r="A39" s="176"/>
      <c r="B39" s="12"/>
      <c r="C39" s="161"/>
      <c r="D39" s="12"/>
      <c r="E39" s="159"/>
      <c r="F39" s="153"/>
      <c r="G39" s="153"/>
      <c r="H39" s="195"/>
      <c r="I39" s="169"/>
      <c r="J39" s="177"/>
      <c r="K39" s="173"/>
      <c r="L39" s="84"/>
      <c r="M39" s="197"/>
      <c r="N39" s="113"/>
      <c r="O39" s="148"/>
      <c r="P39" s="148"/>
      <c r="Q39" s="148"/>
      <c r="R39" s="156"/>
      <c r="S39" s="233"/>
      <c r="T39" s="148"/>
      <c r="U39" s="179"/>
      <c r="V39" s="298"/>
      <c r="W39" s="93"/>
    </row>
    <row r="40" spans="1:23" ht="12.75">
      <c r="A40" s="101"/>
      <c r="B40" s="212"/>
      <c r="C40" s="212"/>
      <c r="D40" s="212"/>
      <c r="E40" s="212"/>
      <c r="F40" s="212"/>
      <c r="G40" s="212"/>
      <c r="H40" s="213"/>
      <c r="I40" s="214"/>
      <c r="J40" s="214"/>
      <c r="K40" s="93"/>
      <c r="L40" s="84"/>
      <c r="M40" s="197"/>
      <c r="N40" s="113"/>
      <c r="O40" s="12" t="s">
        <v>75</v>
      </c>
      <c r="P40" s="12" t="s">
        <v>67</v>
      </c>
      <c r="Q40" s="12" t="s">
        <v>69</v>
      </c>
      <c r="R40" s="815" t="s">
        <v>128</v>
      </c>
      <c r="S40" s="816"/>
      <c r="T40" s="12" t="s">
        <v>71</v>
      </c>
      <c r="U40" s="12" t="s">
        <v>72</v>
      </c>
      <c r="V40" s="177" t="s">
        <v>129</v>
      </c>
      <c r="W40" s="215"/>
    </row>
    <row r="41" spans="1:23" ht="12.75">
      <c r="A41" s="176"/>
      <c r="B41" s="12"/>
      <c r="C41" s="161"/>
      <c r="D41" s="12"/>
      <c r="E41" s="159"/>
      <c r="F41" s="153"/>
      <c r="G41" s="153"/>
      <c r="H41" s="195"/>
      <c r="I41" s="169"/>
      <c r="J41" s="177"/>
      <c r="K41" s="173"/>
      <c r="L41" s="84"/>
      <c r="M41" s="209"/>
      <c r="N41" s="210"/>
      <c r="O41" s="150"/>
      <c r="P41" s="150"/>
      <c r="Q41" s="150"/>
      <c r="R41" s="151"/>
      <c r="S41" s="217"/>
      <c r="T41" s="150"/>
      <c r="U41" s="144" t="s">
        <v>74</v>
      </c>
      <c r="V41" s="151"/>
      <c r="W41" s="103"/>
    </row>
    <row r="42" spans="1:23" ht="12.75">
      <c r="A42" s="152"/>
      <c r="B42" s="148"/>
      <c r="C42" s="179"/>
      <c r="D42" s="148"/>
      <c r="E42" s="148"/>
      <c r="F42" s="148"/>
      <c r="G42" s="148"/>
      <c r="H42" s="148"/>
      <c r="I42" s="179"/>
      <c r="J42" s="187"/>
      <c r="K42" s="173"/>
      <c r="L42" s="84"/>
      <c r="M42" s="197"/>
      <c r="N42" s="113"/>
      <c r="O42" s="148"/>
      <c r="P42" s="133"/>
      <c r="Q42" s="154" t="s">
        <v>130</v>
      </c>
      <c r="R42" s="218" t="s">
        <v>131</v>
      </c>
      <c r="S42" s="219"/>
      <c r="T42" s="220"/>
      <c r="U42" s="221"/>
      <c r="V42" s="39" t="s">
        <v>73</v>
      </c>
      <c r="W42" s="222"/>
    </row>
    <row r="43" spans="1:23" ht="12.75">
      <c r="A43" s="141"/>
      <c r="B43" s="142"/>
      <c r="C43" s="144"/>
      <c r="D43" s="142"/>
      <c r="E43" s="142"/>
      <c r="F43" s="223" t="s">
        <v>206</v>
      </c>
      <c r="G43" s="218" t="s">
        <v>452</v>
      </c>
      <c r="H43" s="224"/>
      <c r="I43" s="224"/>
      <c r="J43" s="225">
        <f>SUM(J35:J42)</f>
        <v>525.66</v>
      </c>
      <c r="K43" s="196">
        <f>J43/V63</f>
        <v>0.3726</v>
      </c>
      <c r="L43" s="84"/>
      <c r="M43" s="197"/>
      <c r="N43" s="113"/>
      <c r="O43" s="148"/>
      <c r="P43" s="148"/>
      <c r="Q43" s="154" t="s">
        <v>133</v>
      </c>
      <c r="R43" s="226" t="s">
        <v>134</v>
      </c>
      <c r="S43" s="227"/>
      <c r="T43" s="179"/>
      <c r="U43" s="166">
        <f>V24</f>
        <v>0.5502</v>
      </c>
      <c r="V43" s="162">
        <f>$V$24</f>
        <v>0.5502</v>
      </c>
      <c r="W43" s="103"/>
    </row>
    <row r="44" spans="1:23" ht="9" customHeight="1">
      <c r="A44" s="197"/>
      <c r="B44" s="113"/>
      <c r="C44" s="113"/>
      <c r="D44" s="113"/>
      <c r="E44" s="113"/>
      <c r="F44" s="154"/>
      <c r="G44" s="154"/>
      <c r="H44" s="154"/>
      <c r="I44" s="154"/>
      <c r="J44" s="127"/>
      <c r="K44" s="228"/>
      <c r="L44" s="84"/>
      <c r="M44" s="197"/>
      <c r="N44" s="113"/>
      <c r="O44" s="161"/>
      <c r="P44" s="12"/>
      <c r="Q44" s="154"/>
      <c r="R44" s="226"/>
      <c r="S44" s="227"/>
      <c r="T44" s="160"/>
      <c r="U44" s="179"/>
      <c r="V44" s="162"/>
      <c r="W44" s="163"/>
    </row>
    <row r="45" spans="1:23" ht="20.25">
      <c r="A45" s="229" t="s">
        <v>136</v>
      </c>
      <c r="B45" s="230"/>
      <c r="C45" s="230"/>
      <c r="D45" s="230"/>
      <c r="E45" s="230"/>
      <c r="F45" s="230"/>
      <c r="G45" s="230"/>
      <c r="H45" s="230"/>
      <c r="I45" s="230"/>
      <c r="J45" s="230"/>
      <c r="K45" s="192"/>
      <c r="L45" s="84"/>
      <c r="M45" s="197"/>
      <c r="N45" s="113"/>
      <c r="O45" s="161">
        <f>C52</f>
        <v>5.5</v>
      </c>
      <c r="P45" s="12" t="s">
        <v>51</v>
      </c>
      <c r="Q45" s="154" t="s">
        <v>135</v>
      </c>
      <c r="R45" s="226" t="s">
        <v>138</v>
      </c>
      <c r="S45" s="227"/>
      <c r="T45" s="160">
        <f>(+O45/100)</f>
        <v>0.055</v>
      </c>
      <c r="U45" s="179"/>
      <c r="V45" s="162">
        <f>(+V43*T45)</f>
        <v>0.0303</v>
      </c>
      <c r="W45" s="163">
        <f>V45*C10/V63</f>
        <v>0.0236</v>
      </c>
    </row>
    <row r="46" spans="1:23" ht="20.25">
      <c r="A46" s="197"/>
      <c r="B46" s="113"/>
      <c r="C46" s="113"/>
      <c r="D46" s="113"/>
      <c r="E46" s="113"/>
      <c r="F46" s="113"/>
      <c r="G46" s="155"/>
      <c r="H46" s="113"/>
      <c r="I46" s="113"/>
      <c r="J46" s="113"/>
      <c r="K46" s="97"/>
      <c r="L46" s="84"/>
      <c r="M46" s="197"/>
      <c r="N46" s="113"/>
      <c r="O46" s="161" t="s">
        <v>139</v>
      </c>
      <c r="P46" s="148"/>
      <c r="Q46" s="154" t="s">
        <v>137</v>
      </c>
      <c r="R46" s="226" t="s">
        <v>418</v>
      </c>
      <c r="S46" s="227"/>
      <c r="T46" s="179"/>
      <c r="U46" s="179"/>
      <c r="V46" s="162">
        <f>SUM(V43:V45)</f>
        <v>0.5805</v>
      </c>
      <c r="W46" s="163"/>
    </row>
    <row r="47" spans="1:23" ht="12.75">
      <c r="A47" s="188"/>
      <c r="B47" s="134"/>
      <c r="C47" s="133"/>
      <c r="D47" s="133"/>
      <c r="E47" s="133"/>
      <c r="F47" s="231"/>
      <c r="G47" s="182"/>
      <c r="H47" s="15"/>
      <c r="I47" s="135" t="s">
        <v>64</v>
      </c>
      <c r="J47" s="136"/>
      <c r="K47" s="117"/>
      <c r="L47" s="84"/>
      <c r="M47" s="197"/>
      <c r="N47" s="113"/>
      <c r="O47" s="161">
        <f>C55</f>
        <v>0</v>
      </c>
      <c r="P47" s="12" t="s">
        <v>51</v>
      </c>
      <c r="Q47" s="154" t="s">
        <v>140</v>
      </c>
      <c r="R47" s="226" t="s">
        <v>142</v>
      </c>
      <c r="S47" s="227"/>
      <c r="T47" s="160">
        <f>(+O47/100)</f>
        <v>0</v>
      </c>
      <c r="U47" s="232">
        <f>V46</f>
        <v>0.5805</v>
      </c>
      <c r="V47" s="162">
        <f>(+V46*T47)</f>
        <v>0</v>
      </c>
      <c r="W47" s="163">
        <f>V47*C10/V63</f>
        <v>0</v>
      </c>
    </row>
    <row r="48" spans="1:23" ht="12.75">
      <c r="A48" s="197"/>
      <c r="B48" s="233"/>
      <c r="C48" s="12" t="s">
        <v>75</v>
      </c>
      <c r="D48" s="12" t="s">
        <v>67</v>
      </c>
      <c r="E48" s="12" t="s">
        <v>69</v>
      </c>
      <c r="F48" s="815" t="s">
        <v>70</v>
      </c>
      <c r="G48" s="816"/>
      <c r="H48" s="12" t="s">
        <v>71</v>
      </c>
      <c r="I48" s="12" t="s">
        <v>72</v>
      </c>
      <c r="J48" s="138" t="s">
        <v>73</v>
      </c>
      <c r="K48" s="117"/>
      <c r="L48" s="84"/>
      <c r="M48" s="197"/>
      <c r="N48" s="113"/>
      <c r="O48" s="161" t="s">
        <v>139</v>
      </c>
      <c r="P48" s="148"/>
      <c r="Q48" s="154" t="s">
        <v>141</v>
      </c>
      <c r="R48" s="226" t="s">
        <v>419</v>
      </c>
      <c r="S48" s="227"/>
      <c r="T48" s="179"/>
      <c r="U48" s="179"/>
      <c r="V48" s="162">
        <f>SUM(V46:V47)</f>
        <v>0.5805</v>
      </c>
      <c r="W48" s="163"/>
    </row>
    <row r="49" spans="1:23" ht="12.75">
      <c r="A49" s="197"/>
      <c r="B49" s="233"/>
      <c r="C49" s="142"/>
      <c r="D49" s="142"/>
      <c r="E49" s="142"/>
      <c r="F49" s="145"/>
      <c r="G49" s="126"/>
      <c r="H49" s="150"/>
      <c r="I49" s="144" t="s">
        <v>74</v>
      </c>
      <c r="J49" s="145"/>
      <c r="K49" s="234"/>
      <c r="L49" s="84"/>
      <c r="M49" s="197"/>
      <c r="N49" s="113"/>
      <c r="O49" s="161">
        <f>C58</f>
        <v>9</v>
      </c>
      <c r="P49" s="12" t="s">
        <v>51</v>
      </c>
      <c r="Q49" s="154" t="s">
        <v>143</v>
      </c>
      <c r="R49" s="226" t="s">
        <v>145</v>
      </c>
      <c r="S49" s="227"/>
      <c r="T49" s="160">
        <f>(+O49/100)</f>
        <v>0.09</v>
      </c>
      <c r="U49" s="232">
        <f>V48</f>
        <v>0.5805</v>
      </c>
      <c r="V49" s="162">
        <f>(+V48*T49)</f>
        <v>0.0522</v>
      </c>
      <c r="W49" s="163">
        <f>V49*C10/V63</f>
        <v>0.0407</v>
      </c>
    </row>
    <row r="50" spans="1:23" ht="12.75">
      <c r="A50" s="197"/>
      <c r="B50" s="233"/>
      <c r="C50" s="148"/>
      <c r="D50" s="148"/>
      <c r="E50" s="153" t="s">
        <v>146</v>
      </c>
      <c r="F50" s="181" t="s">
        <v>453</v>
      </c>
      <c r="G50" s="106"/>
      <c r="H50" s="235"/>
      <c r="I50" s="161">
        <f>J43</f>
        <v>525.66</v>
      </c>
      <c r="J50" s="236">
        <f>J43</f>
        <v>525.66</v>
      </c>
      <c r="K50" s="117"/>
      <c r="L50" s="84"/>
      <c r="M50" s="197"/>
      <c r="N50" s="113"/>
      <c r="O50" s="161" t="s">
        <v>139</v>
      </c>
      <c r="P50" s="148"/>
      <c r="Q50" s="154" t="s">
        <v>144</v>
      </c>
      <c r="R50" s="226" t="s">
        <v>420</v>
      </c>
      <c r="S50" s="227"/>
      <c r="T50" s="179"/>
      <c r="U50" s="179"/>
      <c r="V50" s="162">
        <f>SUM(V48:V49)</f>
        <v>0.6327</v>
      </c>
      <c r="W50" s="163"/>
    </row>
    <row r="51" spans="1:23" ht="12.75">
      <c r="A51" s="197"/>
      <c r="B51" s="233"/>
      <c r="C51" s="706"/>
      <c r="D51" s="12"/>
      <c r="E51" s="153"/>
      <c r="F51" s="226"/>
      <c r="G51" s="227"/>
      <c r="H51" s="160"/>
      <c r="I51" s="179"/>
      <c r="J51" s="177"/>
      <c r="K51" s="173"/>
      <c r="L51" s="84"/>
      <c r="M51" s="197"/>
      <c r="N51" s="113"/>
      <c r="O51" s="161">
        <f>C61</f>
        <v>7.81</v>
      </c>
      <c r="P51" s="12" t="s">
        <v>51</v>
      </c>
      <c r="Q51" s="154" t="s">
        <v>150</v>
      </c>
      <c r="R51" s="226" t="s">
        <v>151</v>
      </c>
      <c r="S51" s="227"/>
      <c r="T51" s="160">
        <f>(+O51/100)</f>
        <v>0.0781</v>
      </c>
      <c r="U51" s="179"/>
      <c r="V51" s="162">
        <f>(+V53*T51)</f>
        <v>0.0536</v>
      </c>
      <c r="W51" s="163">
        <f>V51*C10/V63</f>
        <v>0.0418</v>
      </c>
    </row>
    <row r="52" spans="1:23" ht="12.75">
      <c r="A52" s="197"/>
      <c r="B52" s="233"/>
      <c r="C52" s="237">
        <v>5.5</v>
      </c>
      <c r="D52" s="12" t="s">
        <v>51</v>
      </c>
      <c r="E52" s="153" t="s">
        <v>149</v>
      </c>
      <c r="F52" s="226" t="s">
        <v>138</v>
      </c>
      <c r="G52" s="227"/>
      <c r="H52" s="160">
        <f>(C52/100)</f>
        <v>0.055</v>
      </c>
      <c r="I52" s="179"/>
      <c r="J52" s="177">
        <f>(+J50*H52)</f>
        <v>28.91</v>
      </c>
      <c r="K52" s="173">
        <f>J52/V63</f>
        <v>0.0205</v>
      </c>
      <c r="L52" s="84"/>
      <c r="M52" s="197"/>
      <c r="N52" s="113"/>
      <c r="O52" s="161" t="s">
        <v>139</v>
      </c>
      <c r="P52" s="148"/>
      <c r="Q52" s="113"/>
      <c r="R52" s="156"/>
      <c r="S52" s="233"/>
      <c r="T52" s="179"/>
      <c r="U52" s="179"/>
      <c r="V52" s="162"/>
      <c r="W52" s="146"/>
    </row>
    <row r="53" spans="1:25" ht="12.75">
      <c r="A53" s="197"/>
      <c r="B53" s="233"/>
      <c r="C53" s="161" t="s">
        <v>139</v>
      </c>
      <c r="D53" s="148"/>
      <c r="E53" s="148"/>
      <c r="F53" s="156"/>
      <c r="G53" s="113"/>
      <c r="H53" s="160"/>
      <c r="I53" s="161"/>
      <c r="J53" s="177"/>
      <c r="K53" s="238"/>
      <c r="L53" s="84"/>
      <c r="M53" s="239"/>
      <c r="N53" s="126"/>
      <c r="O53" s="240" t="s">
        <v>139</v>
      </c>
      <c r="P53" s="142"/>
      <c r="Q53" s="241" t="s">
        <v>148</v>
      </c>
      <c r="R53" s="218" t="s">
        <v>421</v>
      </c>
      <c r="S53" s="221"/>
      <c r="T53" s="242"/>
      <c r="U53" s="220"/>
      <c r="V53" s="243">
        <f>V50/(1-T51)</f>
        <v>0.6863</v>
      </c>
      <c r="W53" s="244">
        <f>V53*C10/V63</f>
        <v>0.5352</v>
      </c>
      <c r="Y53" s="178"/>
    </row>
    <row r="54" spans="1:23" ht="12.75">
      <c r="A54" s="197"/>
      <c r="B54" s="233"/>
      <c r="C54" s="245"/>
      <c r="D54" s="148"/>
      <c r="E54" s="153" t="s">
        <v>152</v>
      </c>
      <c r="F54" s="226" t="s">
        <v>424</v>
      </c>
      <c r="G54" s="113"/>
      <c r="H54" s="160"/>
      <c r="I54" s="179"/>
      <c r="J54" s="177">
        <f>SUM(J50:J52)</f>
        <v>554.57</v>
      </c>
      <c r="K54" s="173"/>
      <c r="L54" s="84"/>
      <c r="M54" s="193"/>
      <c r="N54" s="194"/>
      <c r="O54" s="194"/>
      <c r="P54" s="194"/>
      <c r="Q54" s="194"/>
      <c r="R54" s="194"/>
      <c r="S54" s="194"/>
      <c r="T54" s="194"/>
      <c r="U54" s="194"/>
      <c r="V54" s="194"/>
      <c r="W54" s="103"/>
    </row>
    <row r="55" spans="1:23" ht="12.75">
      <c r="A55" s="197"/>
      <c r="B55" s="233"/>
      <c r="C55" s="161">
        <v>0</v>
      </c>
      <c r="D55" s="12" t="s">
        <v>51</v>
      </c>
      <c r="E55" s="153" t="s">
        <v>154</v>
      </c>
      <c r="F55" s="226" t="s">
        <v>142</v>
      </c>
      <c r="G55" s="227"/>
      <c r="H55" s="160">
        <f>(C55/100)</f>
        <v>0</v>
      </c>
      <c r="I55" s="246">
        <f>J54</f>
        <v>554.57</v>
      </c>
      <c r="J55" s="177">
        <f>(+J54*H55)</f>
        <v>0</v>
      </c>
      <c r="K55" s="173">
        <f>J55/V63</f>
        <v>0</v>
      </c>
      <c r="L55" s="84"/>
      <c r="M55" s="197"/>
      <c r="N55" s="113"/>
      <c r="O55" s="113"/>
      <c r="P55" s="113"/>
      <c r="Q55" s="113"/>
      <c r="R55" s="113"/>
      <c r="S55" s="113"/>
      <c r="T55" s="113"/>
      <c r="U55" s="113"/>
      <c r="V55" s="113"/>
      <c r="W55" s="103"/>
    </row>
    <row r="56" spans="1:23" ht="13.5" thickBot="1">
      <c r="A56" s="197"/>
      <c r="B56" s="233"/>
      <c r="C56" s="161" t="s">
        <v>139</v>
      </c>
      <c r="D56" s="148"/>
      <c r="E56" s="148"/>
      <c r="F56" s="156"/>
      <c r="G56" s="113"/>
      <c r="H56" s="160"/>
      <c r="I56" s="161"/>
      <c r="J56" s="177"/>
      <c r="K56" s="238"/>
      <c r="L56" s="84"/>
      <c r="M56" s="197"/>
      <c r="N56" s="113"/>
      <c r="O56" s="113"/>
      <c r="P56" s="113"/>
      <c r="Q56" s="113"/>
      <c r="R56" s="113"/>
      <c r="S56" s="113"/>
      <c r="T56" s="113"/>
      <c r="U56" s="113"/>
      <c r="V56" s="113"/>
      <c r="W56" s="103"/>
    </row>
    <row r="57" spans="1:23" ht="20.25">
      <c r="A57" s="197"/>
      <c r="B57" s="233"/>
      <c r="C57" s="161" t="s">
        <v>139</v>
      </c>
      <c r="D57" s="148"/>
      <c r="E57" s="153" t="s">
        <v>155</v>
      </c>
      <c r="F57" s="226" t="s">
        <v>425</v>
      </c>
      <c r="G57" s="113"/>
      <c r="H57" s="160"/>
      <c r="I57" s="179"/>
      <c r="J57" s="177">
        <f>SUM(J54:J55)</f>
        <v>554.57</v>
      </c>
      <c r="K57" s="238"/>
      <c r="L57" s="84"/>
      <c r="M57" s="197"/>
      <c r="N57" s="113"/>
      <c r="O57" s="113"/>
      <c r="P57" s="113"/>
      <c r="Q57" s="247" t="s">
        <v>157</v>
      </c>
      <c r="R57" s="248"/>
      <c r="S57" s="248"/>
      <c r="T57" s="248"/>
      <c r="U57" s="248"/>
      <c r="V57" s="248"/>
      <c r="W57" s="103"/>
    </row>
    <row r="58" spans="1:23" ht="13.5" thickBot="1">
      <c r="A58" s="197"/>
      <c r="B58" s="233"/>
      <c r="C58" s="237">
        <v>9</v>
      </c>
      <c r="D58" s="12" t="s">
        <v>51</v>
      </c>
      <c r="E58" s="153" t="s">
        <v>156</v>
      </c>
      <c r="F58" s="226" t="s">
        <v>427</v>
      </c>
      <c r="G58" s="227"/>
      <c r="H58" s="160">
        <f>(C58/100)</f>
        <v>0.09</v>
      </c>
      <c r="I58" s="246">
        <f>J57</f>
        <v>554.57</v>
      </c>
      <c r="J58" s="177">
        <f>(+J57*H58)</f>
        <v>49.91</v>
      </c>
      <c r="K58" s="173">
        <f>J58/V63</f>
        <v>0.0354</v>
      </c>
      <c r="L58" s="84"/>
      <c r="M58" s="197"/>
      <c r="N58" s="113"/>
      <c r="O58" s="113"/>
      <c r="P58" s="113"/>
      <c r="Q58" s="249"/>
      <c r="R58" s="250"/>
      <c r="S58" s="250"/>
      <c r="T58" s="250"/>
      <c r="U58" s="250"/>
      <c r="V58" s="250"/>
      <c r="W58" s="103"/>
    </row>
    <row r="59" spans="1:23" ht="13.5" thickBot="1">
      <c r="A59" s="197"/>
      <c r="B59" s="233"/>
      <c r="C59" s="161" t="s">
        <v>139</v>
      </c>
      <c r="D59" s="148"/>
      <c r="E59" s="148"/>
      <c r="F59" s="156"/>
      <c r="G59" s="113"/>
      <c r="H59" s="160"/>
      <c r="I59" s="179"/>
      <c r="J59" s="177"/>
      <c r="K59" s="238"/>
      <c r="L59" s="84"/>
      <c r="M59" s="197"/>
      <c r="N59" s="113"/>
      <c r="O59" s="113"/>
      <c r="P59" s="113"/>
      <c r="Q59" s="733" t="s">
        <v>422</v>
      </c>
      <c r="R59" s="251" t="s">
        <v>160</v>
      </c>
      <c r="S59" s="252"/>
      <c r="T59" s="252"/>
      <c r="U59" s="252"/>
      <c r="V59" s="253">
        <f>C10*V53</f>
        <v>754.93</v>
      </c>
      <c r="W59" s="254">
        <f>V59/V63</f>
        <v>0.5352</v>
      </c>
    </row>
    <row r="60" spans="1:23" ht="13.5" thickBot="1">
      <c r="A60" s="197"/>
      <c r="B60" s="233"/>
      <c r="C60" s="161" t="s">
        <v>139</v>
      </c>
      <c r="D60" s="148"/>
      <c r="E60" s="153" t="s">
        <v>158</v>
      </c>
      <c r="F60" s="226" t="s">
        <v>162</v>
      </c>
      <c r="G60" s="113"/>
      <c r="H60" s="160"/>
      <c r="I60" s="179"/>
      <c r="J60" s="177">
        <f>SUM(J57:J58)</f>
        <v>604.48</v>
      </c>
      <c r="K60" s="238"/>
      <c r="L60" s="84"/>
      <c r="M60" s="197"/>
      <c r="N60" s="113"/>
      <c r="O60" s="113"/>
      <c r="P60" s="113"/>
      <c r="Q60" s="732" t="s">
        <v>159</v>
      </c>
      <c r="R60" s="154" t="s">
        <v>164</v>
      </c>
      <c r="S60" s="113"/>
      <c r="T60" s="113"/>
      <c r="U60" s="154"/>
      <c r="V60" s="127">
        <f>J63</f>
        <v>655.69</v>
      </c>
      <c r="W60" s="254">
        <f>V60/V63</f>
        <v>0.4648</v>
      </c>
    </row>
    <row r="61" spans="1:23" ht="19.5" thickBot="1">
      <c r="A61" s="197"/>
      <c r="B61" s="233"/>
      <c r="C61" s="255">
        <f>(15%*C58)+(9%*C58)+3.65+2</f>
        <v>7.81</v>
      </c>
      <c r="D61" s="12" t="s">
        <v>51</v>
      </c>
      <c r="E61" s="153" t="s">
        <v>165</v>
      </c>
      <c r="F61" s="226" t="s">
        <v>151</v>
      </c>
      <c r="G61" s="227"/>
      <c r="H61" s="160">
        <f>(C61/100)</f>
        <v>0.0781</v>
      </c>
      <c r="I61" s="179"/>
      <c r="J61" s="177">
        <f>(+J63*H61)</f>
        <v>51.21</v>
      </c>
      <c r="K61" s="173">
        <f>J61/V63</f>
        <v>0.0363</v>
      </c>
      <c r="L61" s="84"/>
      <c r="M61" s="197"/>
      <c r="N61" s="113"/>
      <c r="O61" s="113"/>
      <c r="P61" s="113"/>
      <c r="Q61" s="309" t="s">
        <v>163</v>
      </c>
      <c r="R61" s="310" t="s">
        <v>433</v>
      </c>
      <c r="S61" s="326"/>
      <c r="T61" s="326"/>
      <c r="U61" s="310"/>
      <c r="V61" s="327">
        <f>V63/F8</f>
        <v>0.46</v>
      </c>
      <c r="W61" s="191"/>
    </row>
    <row r="62" spans="1:23" ht="13.5" thickBot="1">
      <c r="A62" s="197"/>
      <c r="B62" s="233"/>
      <c r="C62" s="161" t="s">
        <v>139</v>
      </c>
      <c r="D62" s="148"/>
      <c r="E62" s="148"/>
      <c r="F62" s="156"/>
      <c r="G62" s="113"/>
      <c r="H62" s="179"/>
      <c r="I62" s="179"/>
      <c r="J62" s="177"/>
      <c r="K62" s="238"/>
      <c r="L62" s="84"/>
      <c r="M62" s="197"/>
      <c r="N62" s="113"/>
      <c r="O62" s="113"/>
      <c r="P62" s="113"/>
      <c r="Q62" s="197"/>
      <c r="R62" s="113"/>
      <c r="S62" s="113"/>
      <c r="T62" s="113"/>
      <c r="U62" s="113"/>
      <c r="V62" s="155"/>
      <c r="W62" s="259"/>
    </row>
    <row r="63" spans="1:23" ht="13.5" thickBot="1">
      <c r="A63" s="260"/>
      <c r="B63" s="261"/>
      <c r="C63" s="262" t="s">
        <v>139</v>
      </c>
      <c r="D63" s="263"/>
      <c r="E63" s="264" t="s">
        <v>161</v>
      </c>
      <c r="F63" s="265" t="s">
        <v>426</v>
      </c>
      <c r="G63" s="266"/>
      <c r="H63" s="266"/>
      <c r="I63" s="266"/>
      <c r="J63" s="267">
        <f>J60/(1-H61)</f>
        <v>655.69</v>
      </c>
      <c r="K63" s="268">
        <f>J63/V63</f>
        <v>0.4648</v>
      </c>
      <c r="L63" s="84"/>
      <c r="M63" s="260"/>
      <c r="N63" s="269"/>
      <c r="O63" s="269"/>
      <c r="P63" s="269"/>
      <c r="Q63" s="305" t="s">
        <v>168</v>
      </c>
      <c r="R63" s="306" t="s">
        <v>423</v>
      </c>
      <c r="S63" s="307"/>
      <c r="T63" s="307"/>
      <c r="U63" s="306"/>
      <c r="V63" s="308">
        <f>V59+J63</f>
        <v>1410.62</v>
      </c>
      <c r="W63" s="274">
        <f>SUM(W59:W62)</f>
        <v>1</v>
      </c>
    </row>
    <row r="65" ht="15.75">
      <c r="A65" s="69" t="s">
        <v>169</v>
      </c>
    </row>
    <row r="67" spans="1:19" ht="15.75">
      <c r="A67" s="69" t="str">
        <f>'Trator de Esteira'!A61</f>
        <v>Patos de Minas-MG, 16 de Novembro de 2015.</v>
      </c>
      <c r="G67" s="13"/>
      <c r="M67" s="11"/>
      <c r="S67" s="13"/>
    </row>
    <row r="68" spans="7:19" ht="15">
      <c r="G68" s="11"/>
      <c r="H68" s="11"/>
      <c r="I68" s="11"/>
      <c r="S68" s="11"/>
    </row>
    <row r="69" spans="3:19" ht="15">
      <c r="C69" s="358"/>
      <c r="G69" s="11"/>
      <c r="H69" s="11"/>
      <c r="I69" s="11"/>
      <c r="S69" s="11"/>
    </row>
    <row r="71" spans="1:10" ht="12">
      <c r="A71" s="275"/>
      <c r="B71" s="275"/>
      <c r="C71" s="275"/>
      <c r="D71" s="275"/>
      <c r="E71" s="275"/>
      <c r="F71" s="275"/>
      <c r="G71" s="275"/>
      <c r="H71" s="275"/>
      <c r="I71" s="275"/>
      <c r="J71" s="275"/>
    </row>
    <row r="95" ht="2.25" customHeight="1"/>
    <row r="96" ht="12.75" customHeight="1"/>
    <row r="97" ht="0.75" customHeight="1"/>
    <row r="122" spans="12:15" ht="12.75">
      <c r="L122" s="276"/>
      <c r="M122" s="277"/>
      <c r="N122" s="276"/>
      <c r="O122" s="277"/>
    </row>
    <row r="123" spans="12:15" ht="12.75">
      <c r="L123" s="276"/>
      <c r="M123" s="276"/>
      <c r="N123" s="276"/>
      <c r="O123" s="278"/>
    </row>
    <row r="124" spans="12:15" ht="12.75">
      <c r="L124" s="276"/>
      <c r="M124" s="276"/>
      <c r="N124" s="276"/>
      <c r="O124" s="278"/>
    </row>
    <row r="125" spans="12:15" ht="12.75">
      <c r="L125" s="276"/>
      <c r="M125" s="276"/>
      <c r="N125" s="276"/>
      <c r="O125" s="278"/>
    </row>
    <row r="126" spans="12:15" ht="12.75">
      <c r="L126" s="2"/>
      <c r="M126" s="2"/>
      <c r="N126" s="2"/>
      <c r="O126" s="279"/>
    </row>
    <row r="127" spans="1:11" ht="12.75">
      <c r="A127" s="276"/>
      <c r="B127" s="276"/>
      <c r="C127" s="276"/>
      <c r="D127" s="276"/>
      <c r="E127" s="280"/>
      <c r="F127" s="280"/>
      <c r="G127" s="280"/>
      <c r="H127" s="280"/>
      <c r="I127" s="280"/>
      <c r="J127" s="280"/>
      <c r="K127" s="280"/>
    </row>
    <row r="128" spans="1:12" ht="12.75">
      <c r="A128" s="276"/>
      <c r="B128" s="276"/>
      <c r="C128" s="276"/>
      <c r="D128" s="276"/>
      <c r="E128" s="276"/>
      <c r="F128" s="276"/>
      <c r="G128" s="276"/>
      <c r="H128" s="276"/>
      <c r="I128" s="276"/>
      <c r="J128" s="281"/>
      <c r="K128" s="281"/>
      <c r="L128" s="178"/>
    </row>
    <row r="129" spans="1:11" ht="12.7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</row>
    <row r="130" spans="1:11" ht="12.7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</row>
    <row r="131" spans="1:11" ht="12.7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</row>
    <row r="132" spans="1:11" ht="12.7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</row>
    <row r="133" spans="1:12" ht="12.75">
      <c r="A133" s="2"/>
      <c r="B133" s="2"/>
      <c r="C133" s="2"/>
      <c r="D133" s="2"/>
      <c r="E133" s="28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83"/>
      <c r="F134" s="283"/>
      <c r="G134" s="283"/>
      <c r="H134" s="283"/>
      <c r="I134" s="2"/>
      <c r="J134" s="2"/>
      <c r="K134" s="2"/>
      <c r="L134" s="4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83"/>
      <c r="B136" s="283"/>
      <c r="C136" s="283"/>
      <c r="D136" s="283"/>
      <c r="E136" s="283"/>
      <c r="F136" s="283"/>
      <c r="G136" s="283"/>
      <c r="H136" s="283"/>
      <c r="I136" s="283"/>
      <c r="J136" s="283"/>
      <c r="K136" s="283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5"/>
      <c r="C139" s="2"/>
      <c r="D139" s="279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"/>
      <c r="B142" s="5"/>
      <c r="C142" s="2"/>
      <c r="D142" s="279"/>
      <c r="E142" s="2"/>
      <c r="F142" s="2"/>
      <c r="G142" s="2"/>
      <c r="H142" s="2"/>
      <c r="I142" s="2"/>
      <c r="J142" s="2"/>
      <c r="K142" s="2"/>
      <c r="L142" s="4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1:12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">
      <c r="A145" s="4"/>
      <c r="B145" s="6"/>
      <c r="C145" s="4"/>
      <c r="D145" s="284"/>
      <c r="E145" s="4"/>
      <c r="F145" s="4"/>
      <c r="G145" s="4"/>
      <c r="H145" s="4"/>
      <c r="I145" s="4"/>
      <c r="J145" s="4"/>
      <c r="K145" s="4"/>
      <c r="L145" s="4"/>
    </row>
    <row r="146" spans="1:12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4"/>
    </row>
    <row r="149" spans="1:12" ht="12">
      <c r="A149" s="4"/>
      <c r="B149" s="4"/>
      <c r="C149" s="6"/>
      <c r="D149" s="4"/>
      <c r="E149" s="4"/>
      <c r="F149" s="4"/>
      <c r="G149" s="285"/>
      <c r="H149" s="285"/>
      <c r="L149" s="4"/>
    </row>
    <row r="150" spans="1:12" ht="12">
      <c r="A150" s="7"/>
      <c r="B150" s="7"/>
      <c r="C150" s="7"/>
      <c r="D150" s="7"/>
      <c r="E150" s="7"/>
      <c r="F150" s="7"/>
      <c r="G150" s="7"/>
      <c r="H150" s="7"/>
      <c r="L150" s="4"/>
    </row>
    <row r="151" spans="1:12" ht="12">
      <c r="A151" s="4"/>
      <c r="B151" s="4"/>
      <c r="C151" s="4"/>
      <c r="D151" s="4"/>
      <c r="E151" s="4"/>
      <c r="F151" s="4"/>
      <c r="G151" s="4"/>
      <c r="H151" s="4"/>
      <c r="L151" s="4"/>
    </row>
    <row r="152" spans="1:12" ht="12">
      <c r="A152" s="4"/>
      <c r="B152" s="4"/>
      <c r="C152" s="4"/>
      <c r="D152" s="4"/>
      <c r="E152" s="4"/>
      <c r="F152" s="4"/>
      <c r="G152" s="4"/>
      <c r="H152" s="4"/>
      <c r="L152" s="4"/>
    </row>
    <row r="153" spans="2:12" ht="12">
      <c r="B153" s="286"/>
      <c r="C153" s="287"/>
      <c r="G153" s="288"/>
      <c r="H153" s="287"/>
      <c r="L153" s="4"/>
    </row>
    <row r="154" spans="7:12" ht="12">
      <c r="G154" s="289"/>
      <c r="L154" s="4"/>
    </row>
    <row r="155" spans="7:12" ht="12">
      <c r="G155" s="289"/>
      <c r="L155" s="4"/>
    </row>
    <row r="156" spans="2:12" ht="12">
      <c r="B156" s="286"/>
      <c r="C156" s="287"/>
      <c r="G156" s="288"/>
      <c r="H156" s="287"/>
      <c r="L156" s="4"/>
    </row>
    <row r="157" spans="7:12" ht="12">
      <c r="G157" s="29"/>
      <c r="L157" s="4"/>
    </row>
    <row r="158" spans="7:12" ht="12">
      <c r="G158" s="29"/>
      <c r="L158" s="4"/>
    </row>
    <row r="159" spans="2:12" ht="12">
      <c r="B159" s="3"/>
      <c r="C159" s="290"/>
      <c r="G159" s="288"/>
      <c r="H159" s="287"/>
      <c r="L159" s="4"/>
    </row>
    <row r="160" spans="7:12" ht="12">
      <c r="G160" s="29"/>
      <c r="L160" s="4"/>
    </row>
    <row r="161" spans="7:12" ht="12">
      <c r="G161" s="29"/>
      <c r="L161" s="4"/>
    </row>
    <row r="162" spans="2:12" ht="12">
      <c r="B162" s="3"/>
      <c r="C162" s="291"/>
      <c r="G162" s="288"/>
      <c r="H162" s="292"/>
      <c r="L162" s="4"/>
    </row>
    <row r="163" spans="10:12" ht="12">
      <c r="J163" s="4"/>
      <c r="K163" s="4"/>
      <c r="L163" s="4"/>
    </row>
    <row r="164" spans="1:12" ht="12">
      <c r="A164" s="293"/>
      <c r="B164" s="293"/>
      <c r="C164" s="293"/>
      <c r="D164" s="293"/>
      <c r="E164" s="293"/>
      <c r="F164" s="293"/>
      <c r="G164" s="293"/>
      <c r="H164" s="293"/>
      <c r="I164" s="293"/>
      <c r="J164" s="7"/>
      <c r="K164" s="7"/>
      <c r="L164" s="4"/>
    </row>
    <row r="165" spans="10:12" ht="12">
      <c r="J165" s="4"/>
      <c r="K165" s="4"/>
      <c r="L165" s="4"/>
    </row>
    <row r="166" spans="2:12" ht="12">
      <c r="B166" s="286"/>
      <c r="D166" s="292"/>
      <c r="J166" s="4"/>
      <c r="K166" s="4"/>
      <c r="L166" s="4"/>
    </row>
    <row r="167" spans="10:12" ht="12">
      <c r="J167" s="4"/>
      <c r="K167" s="4"/>
      <c r="L167" s="4"/>
    </row>
    <row r="168" spans="1:12" ht="12">
      <c r="A168" s="293"/>
      <c r="B168" s="293"/>
      <c r="C168" s="293"/>
      <c r="D168" s="293"/>
      <c r="E168" s="293"/>
      <c r="F168" s="293"/>
      <c r="G168" s="293"/>
      <c r="H168" s="293"/>
      <c r="I168" s="293"/>
      <c r="J168" s="7"/>
      <c r="K168" s="7"/>
      <c r="L168" s="4"/>
    </row>
    <row r="169" spans="1:12" ht="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</sheetData>
  <sheetProtection password="F184" sheet="1"/>
  <mergeCells count="7">
    <mergeCell ref="F48:G48"/>
    <mergeCell ref="A1:K1"/>
    <mergeCell ref="M1:W1"/>
    <mergeCell ref="A5:J5"/>
    <mergeCell ref="B11:C11"/>
    <mergeCell ref="R11:S11"/>
    <mergeCell ref="R40:S40"/>
  </mergeCells>
  <printOptions horizontalCentered="1"/>
  <pageMargins left="0" right="0" top="0.5905511811023623" bottom="0.1968503937007874" header="0.31496062992125984" footer="0.31496062992125984"/>
  <pageSetup horizontalDpi="600" verticalDpi="600" orientation="landscape" paperSize="9" scale="50" r:id="rId1"/>
  <headerFooter alignWithMargins="0">
    <oddHeader>&amp;CPágina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A45">
      <selection activeCell="F61" sqref="F61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26.25390625" style="1" customWidth="1"/>
    <col min="8" max="8" width="13.125" style="1" customWidth="1"/>
    <col min="9" max="9" width="13.00390625" style="1" customWidth="1"/>
    <col min="10" max="10" width="12.375" style="1" customWidth="1"/>
    <col min="11" max="11" width="8.125" style="1" customWidth="1"/>
    <col min="12" max="12" width="0.875" style="1" customWidth="1"/>
    <col min="13" max="16384" width="11.00390625" style="1" customWidth="1"/>
  </cols>
  <sheetData>
    <row r="1" spans="1:11" ht="22.5" customHeight="1" thickBot="1">
      <c r="A1" s="389" t="s">
        <v>303</v>
      </c>
      <c r="B1" s="317"/>
      <c r="C1" s="317"/>
      <c r="D1" s="317"/>
      <c r="E1" s="317"/>
      <c r="F1" s="317"/>
      <c r="G1" s="317"/>
      <c r="H1" s="317"/>
      <c r="I1" s="317"/>
      <c r="J1" s="318"/>
      <c r="K1" s="319"/>
    </row>
    <row r="2" spans="1:11" ht="20.25">
      <c r="A2" s="85" t="s">
        <v>296</v>
      </c>
      <c r="B2" s="86"/>
      <c r="C2" s="87"/>
      <c r="D2" s="86"/>
      <c r="E2" s="86"/>
      <c r="F2" s="86"/>
      <c r="G2" s="88"/>
      <c r="H2" s="86"/>
      <c r="I2" s="86"/>
      <c r="J2" s="86"/>
      <c r="K2" s="89"/>
    </row>
    <row r="3" spans="1:11" ht="20.25">
      <c r="A3" s="94" t="s">
        <v>297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</row>
    <row r="4" spans="1:11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</row>
    <row r="6" spans="1:11" ht="12.75">
      <c r="A6" s="104" t="s">
        <v>304</v>
      </c>
      <c r="B6" s="105"/>
      <c r="C6" s="105"/>
      <c r="D6" s="105"/>
      <c r="E6" s="114"/>
      <c r="F6" s="105"/>
      <c r="G6" s="105"/>
      <c r="H6" s="105"/>
      <c r="I6" s="105"/>
      <c r="J6" s="106"/>
      <c r="K6" s="115"/>
    </row>
    <row r="7" spans="1:11" ht="12.75">
      <c r="A7" s="109"/>
      <c r="B7" s="110"/>
      <c r="C7" s="110"/>
      <c r="D7" s="110"/>
      <c r="E7" s="110"/>
      <c r="F7" s="110"/>
      <c r="G7" s="110"/>
      <c r="H7" s="110"/>
      <c r="I7" s="110"/>
      <c r="J7" s="113"/>
      <c r="K7" s="117"/>
    </row>
    <row r="8" spans="1:11" ht="15.75">
      <c r="A8" s="109" t="s">
        <v>60</v>
      </c>
      <c r="B8" s="111" t="s">
        <v>61</v>
      </c>
      <c r="C8" s="110"/>
      <c r="D8" s="110"/>
      <c r="E8" s="110"/>
      <c r="F8" s="110"/>
      <c r="G8" s="110"/>
      <c r="H8" s="110"/>
      <c r="I8" s="120"/>
      <c r="J8" s="113"/>
      <c r="K8" s="117"/>
    </row>
    <row r="9" spans="1:11" ht="12.75">
      <c r="A9" s="101"/>
      <c r="B9" s="102"/>
      <c r="C9" s="102"/>
      <c r="D9" s="102"/>
      <c r="E9" s="102"/>
      <c r="F9" s="102"/>
      <c r="G9" s="102"/>
      <c r="H9" s="110"/>
      <c r="I9" s="120"/>
      <c r="J9" s="113"/>
      <c r="K9" s="117"/>
    </row>
    <row r="10" spans="1:11" ht="12.75">
      <c r="A10" s="109"/>
      <c r="B10" s="130"/>
      <c r="C10" s="131"/>
      <c r="D10" s="110"/>
      <c r="E10" s="130"/>
      <c r="F10" s="130"/>
      <c r="G10" s="113"/>
      <c r="H10" s="113"/>
      <c r="I10" s="113"/>
      <c r="J10" s="113"/>
      <c r="K10" s="117"/>
    </row>
    <row r="11" spans="1:11" ht="12.75">
      <c r="A11" s="121" t="s">
        <v>65</v>
      </c>
      <c r="B11" s="137">
        <v>0.333333333333333</v>
      </c>
      <c r="C11" s="123" t="s">
        <v>58</v>
      </c>
      <c r="D11" s="137">
        <v>0.75</v>
      </c>
      <c r="E11" s="124" t="s">
        <v>59</v>
      </c>
      <c r="F11" s="125"/>
      <c r="G11" s="126"/>
      <c r="H11" s="126"/>
      <c r="I11" s="126"/>
      <c r="J11" s="126"/>
      <c r="K11" s="117"/>
    </row>
    <row r="12" spans="1:11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</row>
    <row r="13" spans="1:11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</row>
    <row r="14" spans="1:11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</row>
    <row r="15" spans="1:11" ht="12.75">
      <c r="A15" s="197"/>
      <c r="B15" s="133"/>
      <c r="C15" s="133"/>
      <c r="D15" s="113"/>
      <c r="E15" s="133"/>
      <c r="F15" s="113"/>
      <c r="G15" s="133"/>
      <c r="H15" s="113"/>
      <c r="I15" s="133"/>
      <c r="J15" s="113"/>
      <c r="K15" s="117"/>
    </row>
    <row r="16" spans="1:11" ht="12.75">
      <c r="A16" s="197"/>
      <c r="B16" s="148"/>
      <c r="C16" s="148"/>
      <c r="D16" s="113"/>
      <c r="E16" s="148"/>
      <c r="F16" s="154" t="s">
        <v>79</v>
      </c>
      <c r="G16" s="12" t="s">
        <v>80</v>
      </c>
      <c r="H16" s="113"/>
      <c r="I16" s="148"/>
      <c r="J16" s="113"/>
      <c r="K16" s="117"/>
    </row>
    <row r="17" spans="1:11" ht="12.75">
      <c r="A17" s="197"/>
      <c r="B17" s="148"/>
      <c r="C17" s="148"/>
      <c r="D17" s="113"/>
      <c r="E17" s="148"/>
      <c r="F17" s="113"/>
      <c r="G17" s="148"/>
      <c r="H17" s="113"/>
      <c r="I17" s="148"/>
      <c r="J17" s="113"/>
      <c r="K17" s="117"/>
    </row>
    <row r="18" spans="1:11" ht="12.75">
      <c r="A18" s="375"/>
      <c r="B18" s="148"/>
      <c r="C18" s="161"/>
      <c r="D18" s="113"/>
      <c r="E18" s="175">
        <v>1</v>
      </c>
      <c r="F18" s="116" t="s">
        <v>89</v>
      </c>
      <c r="G18" s="170" t="s">
        <v>299</v>
      </c>
      <c r="H18" s="376">
        <f>E18</f>
        <v>1</v>
      </c>
      <c r="I18" s="200">
        <v>1292</v>
      </c>
      <c r="J18" s="377">
        <f>(H18*I18)</f>
        <v>1292</v>
      </c>
      <c r="K18" s="173">
        <f aca="true" t="shared" si="0" ref="K18:K27">J18/J$53</f>
        <v>0.2047</v>
      </c>
    </row>
    <row r="19" spans="1:11" ht="12.75">
      <c r="A19" s="378"/>
      <c r="B19" s="148"/>
      <c r="C19" s="161"/>
      <c r="D19" s="113"/>
      <c r="E19" s="175">
        <v>1</v>
      </c>
      <c r="F19" s="116" t="s">
        <v>100</v>
      </c>
      <c r="G19" s="170" t="s">
        <v>300</v>
      </c>
      <c r="H19" s="376">
        <f>E19</f>
        <v>1</v>
      </c>
      <c r="I19" s="200">
        <v>850.73</v>
      </c>
      <c r="J19" s="377">
        <f>(H19*I19)</f>
        <v>850.73</v>
      </c>
      <c r="K19" s="173">
        <f t="shared" si="0"/>
        <v>0.1348</v>
      </c>
    </row>
    <row r="20" spans="1:11" ht="12.75">
      <c r="A20" s="378">
        <v>40</v>
      </c>
      <c r="B20" s="12" t="s">
        <v>193</v>
      </c>
      <c r="C20" s="159">
        <v>220</v>
      </c>
      <c r="D20" s="128" t="s">
        <v>194</v>
      </c>
      <c r="E20" s="175">
        <f>E19</f>
        <v>1</v>
      </c>
      <c r="F20" s="116" t="s">
        <v>109</v>
      </c>
      <c r="G20" s="170" t="s">
        <v>301</v>
      </c>
      <c r="H20" s="376">
        <f>A20/100</f>
        <v>0.4</v>
      </c>
      <c r="I20" s="169">
        <v>788</v>
      </c>
      <c r="J20" s="377">
        <f>(I20*H20)*E20*A22</f>
        <v>315.2</v>
      </c>
      <c r="K20" s="173">
        <f t="shared" si="0"/>
        <v>0.0499</v>
      </c>
    </row>
    <row r="21" spans="1:11" ht="12.75">
      <c r="A21" s="768">
        <v>82.26</v>
      </c>
      <c r="B21" s="12" t="s">
        <v>198</v>
      </c>
      <c r="C21" s="159" t="s">
        <v>139</v>
      </c>
      <c r="D21" s="154" t="s">
        <v>84</v>
      </c>
      <c r="E21" s="12" t="s">
        <v>88</v>
      </c>
      <c r="F21" s="116" t="s">
        <v>113</v>
      </c>
      <c r="G21" s="153" t="s">
        <v>199</v>
      </c>
      <c r="H21" s="379">
        <f>A21/100</f>
        <v>0.823</v>
      </c>
      <c r="I21" s="161">
        <f>SUM(J18:J20)</f>
        <v>2457.93</v>
      </c>
      <c r="J21" s="380">
        <f>(I21*H21)</f>
        <v>2022.88</v>
      </c>
      <c r="K21" s="173">
        <f t="shared" si="0"/>
        <v>0.3205</v>
      </c>
    </row>
    <row r="22" spans="1:11" ht="12.75">
      <c r="A22" s="378">
        <v>1</v>
      </c>
      <c r="B22" s="12" t="s">
        <v>200</v>
      </c>
      <c r="C22" s="159">
        <v>1</v>
      </c>
      <c r="D22" s="128" t="s">
        <v>87</v>
      </c>
      <c r="E22" s="159">
        <f>E18+E19</f>
        <v>2</v>
      </c>
      <c r="F22" s="116" t="s">
        <v>116</v>
      </c>
      <c r="G22" s="153" t="s">
        <v>201</v>
      </c>
      <c r="H22" s="379">
        <f aca="true" t="shared" si="1" ref="H22:H27">E22</f>
        <v>2</v>
      </c>
      <c r="I22" s="169">
        <v>114.4</v>
      </c>
      <c r="J22" s="380">
        <f>(+I22*H22)*A22/C22</f>
        <v>228.8</v>
      </c>
      <c r="K22" s="173">
        <f t="shared" si="0"/>
        <v>0.0362</v>
      </c>
    </row>
    <row r="23" spans="1:11" ht="12.75">
      <c r="A23" s="378">
        <v>2</v>
      </c>
      <c r="B23" s="12" t="s">
        <v>202</v>
      </c>
      <c r="C23" s="159">
        <v>6</v>
      </c>
      <c r="D23" s="128" t="s">
        <v>87</v>
      </c>
      <c r="E23" s="159">
        <f>E22</f>
        <v>2</v>
      </c>
      <c r="F23" s="116" t="s">
        <v>120</v>
      </c>
      <c r="G23" s="153" t="s">
        <v>204</v>
      </c>
      <c r="H23" s="379">
        <f t="shared" si="1"/>
        <v>2</v>
      </c>
      <c r="I23" s="255">
        <v>120</v>
      </c>
      <c r="J23" s="380">
        <f>(I23*H23*A23)/C23</f>
        <v>80</v>
      </c>
      <c r="K23" s="173">
        <f t="shared" si="0"/>
        <v>0.0127</v>
      </c>
    </row>
    <row r="24" spans="1:11" ht="12.75">
      <c r="A24" s="378">
        <v>1</v>
      </c>
      <c r="B24" s="12" t="s">
        <v>202</v>
      </c>
      <c r="C24" s="159">
        <v>1</v>
      </c>
      <c r="D24" s="128" t="s">
        <v>87</v>
      </c>
      <c r="E24" s="159">
        <f>E22</f>
        <v>2</v>
      </c>
      <c r="F24" s="116" t="s">
        <v>125</v>
      </c>
      <c r="G24" s="153" t="s">
        <v>209</v>
      </c>
      <c r="H24" s="379">
        <f t="shared" si="1"/>
        <v>2</v>
      </c>
      <c r="I24" s="255">
        <v>16</v>
      </c>
      <c r="J24" s="380">
        <f>(+I24*H24)*A24*C24</f>
        <v>32</v>
      </c>
      <c r="K24" s="173">
        <f t="shared" si="0"/>
        <v>0.0051</v>
      </c>
    </row>
    <row r="25" spans="1:11" ht="12.75">
      <c r="A25" s="176">
        <v>44</v>
      </c>
      <c r="B25" s="12" t="s">
        <v>202</v>
      </c>
      <c r="C25" s="159">
        <v>1</v>
      </c>
      <c r="D25" s="12" t="s">
        <v>87</v>
      </c>
      <c r="E25" s="159">
        <f>E22</f>
        <v>2</v>
      </c>
      <c r="F25" s="153" t="s">
        <v>132</v>
      </c>
      <c r="G25" s="153" t="s">
        <v>213</v>
      </c>
      <c r="H25" s="195">
        <f t="shared" si="1"/>
        <v>2</v>
      </c>
      <c r="I25" s="169">
        <v>2.1</v>
      </c>
      <c r="J25" s="177">
        <f>(I25*H25*A25)</f>
        <v>184.8</v>
      </c>
      <c r="K25" s="173">
        <f t="shared" si="0"/>
        <v>0.0293</v>
      </c>
    </row>
    <row r="26" spans="1:11" ht="12.75">
      <c r="A26" s="176">
        <v>1</v>
      </c>
      <c r="B26" s="12" t="s">
        <v>202</v>
      </c>
      <c r="C26" s="159">
        <v>1</v>
      </c>
      <c r="D26" s="12" t="s">
        <v>87</v>
      </c>
      <c r="E26" s="159">
        <f>E22</f>
        <v>2</v>
      </c>
      <c r="F26" s="153" t="s">
        <v>203</v>
      </c>
      <c r="G26" s="153" t="s">
        <v>215</v>
      </c>
      <c r="H26" s="195">
        <f t="shared" si="1"/>
        <v>2</v>
      </c>
      <c r="I26" s="169">
        <f>I21</f>
        <v>2457.93</v>
      </c>
      <c r="J26" s="177">
        <f>(I26*0.06)*-1</f>
        <v>-147.48</v>
      </c>
      <c r="K26" s="173">
        <f t="shared" si="0"/>
        <v>-0.0234</v>
      </c>
    </row>
    <row r="27" spans="1:11" ht="12.75">
      <c r="A27" s="176">
        <v>2</v>
      </c>
      <c r="B27" s="12" t="s">
        <v>202</v>
      </c>
      <c r="C27" s="159">
        <v>6</v>
      </c>
      <c r="D27" s="12" t="s">
        <v>87</v>
      </c>
      <c r="E27" s="159">
        <f>E26</f>
        <v>2</v>
      </c>
      <c r="F27" s="153" t="s">
        <v>206</v>
      </c>
      <c r="G27" s="153" t="s">
        <v>211</v>
      </c>
      <c r="H27" s="195">
        <f t="shared" si="1"/>
        <v>2</v>
      </c>
      <c r="I27" s="255">
        <v>45</v>
      </c>
      <c r="J27" s="177">
        <f>(I27*H27*A27)/C27</f>
        <v>30</v>
      </c>
      <c r="K27" s="173">
        <f t="shared" si="0"/>
        <v>0.0048</v>
      </c>
    </row>
    <row r="28" spans="1:11" ht="12.75">
      <c r="A28" s="378"/>
      <c r="B28" s="12"/>
      <c r="C28" s="161"/>
      <c r="D28" s="128"/>
      <c r="E28" s="159"/>
      <c r="F28" s="381"/>
      <c r="G28" s="226"/>
      <c r="H28" s="379"/>
      <c r="I28" s="379"/>
      <c r="J28" s="774"/>
      <c r="K28" s="173"/>
    </row>
    <row r="29" spans="1:11" ht="12.75">
      <c r="A29" s="174"/>
      <c r="B29" s="148"/>
      <c r="C29" s="161"/>
      <c r="D29" s="148"/>
      <c r="E29" s="148"/>
      <c r="F29" s="170" t="s">
        <v>208</v>
      </c>
      <c r="G29" s="156" t="s">
        <v>445</v>
      </c>
      <c r="H29" s="749"/>
      <c r="I29" s="127"/>
      <c r="J29" s="380">
        <f>SUM(J18:J28)</f>
        <v>4888.93</v>
      </c>
      <c r="K29" s="173"/>
    </row>
    <row r="30" spans="1:11" ht="12.75">
      <c r="A30" s="174"/>
      <c r="B30" s="148"/>
      <c r="C30" s="161"/>
      <c r="D30" s="148"/>
      <c r="E30" s="424"/>
      <c r="F30" s="170"/>
      <c r="G30" s="752"/>
      <c r="H30" s="753"/>
      <c r="I30" s="751"/>
      <c r="J30" s="750"/>
      <c r="K30" s="173"/>
    </row>
    <row r="31" spans="1:11" ht="12.75">
      <c r="A31" s="760">
        <v>3.5</v>
      </c>
      <c r="B31" s="168" t="s">
        <v>198</v>
      </c>
      <c r="C31" s="161"/>
      <c r="D31" s="12"/>
      <c r="E31" s="424"/>
      <c r="F31" s="170" t="s">
        <v>454</v>
      </c>
      <c r="G31" s="226" t="s">
        <v>448</v>
      </c>
      <c r="H31" s="186">
        <f>A31/100</f>
        <v>0.035</v>
      </c>
      <c r="I31" s="246">
        <f>J29</f>
        <v>4888.93</v>
      </c>
      <c r="J31" s="172">
        <f>H31*I31</f>
        <v>171.11</v>
      </c>
      <c r="K31" s="173">
        <f>J31/J$53</f>
        <v>0.0271</v>
      </c>
    </row>
    <row r="32" spans="1:11" ht="12.75">
      <c r="A32" s="378"/>
      <c r="B32" s="12"/>
      <c r="C32" s="161"/>
      <c r="D32" s="128"/>
      <c r="E32" s="159"/>
      <c r="F32" s="381"/>
      <c r="G32" s="226"/>
      <c r="H32" s="379"/>
      <c r="I32" s="377"/>
      <c r="J32" s="380"/>
      <c r="K32" s="356"/>
    </row>
    <row r="33" spans="1:11" ht="12.75">
      <c r="A33" s="239"/>
      <c r="B33" s="142"/>
      <c r="C33" s="144"/>
      <c r="D33" s="126"/>
      <c r="E33" s="142"/>
      <c r="F33" s="382" t="s">
        <v>210</v>
      </c>
      <c r="G33" s="218" t="s">
        <v>455</v>
      </c>
      <c r="H33" s="224"/>
      <c r="I33" s="224"/>
      <c r="J33" s="225">
        <f>SUM(J29:J32)</f>
        <v>5060.04</v>
      </c>
      <c r="K33" s="356">
        <f>J33/J$53</f>
        <v>0.8017</v>
      </c>
    </row>
    <row r="34" spans="1:11" ht="12.75">
      <c r="A34" s="197"/>
      <c r="B34" s="113"/>
      <c r="C34" s="113"/>
      <c r="D34" s="113"/>
      <c r="E34" s="113"/>
      <c r="F34" s="154"/>
      <c r="G34" s="154"/>
      <c r="H34" s="154"/>
      <c r="I34" s="154"/>
      <c r="J34" s="127"/>
      <c r="K34" s="228"/>
    </row>
    <row r="35" spans="1:11" ht="20.25">
      <c r="A35" s="229" t="s">
        <v>136</v>
      </c>
      <c r="B35" s="230"/>
      <c r="C35" s="230"/>
      <c r="D35" s="230"/>
      <c r="E35" s="230"/>
      <c r="F35" s="230"/>
      <c r="G35" s="230"/>
      <c r="H35" s="230"/>
      <c r="I35" s="230"/>
      <c r="J35" s="230"/>
      <c r="K35" s="192"/>
    </row>
    <row r="36" spans="1:11" ht="20.25">
      <c r="A36" s="197"/>
      <c r="B36" s="113"/>
      <c r="C36" s="113"/>
      <c r="D36" s="113"/>
      <c r="E36" s="113"/>
      <c r="F36" s="113"/>
      <c r="G36" s="155"/>
      <c r="H36" s="113"/>
      <c r="I36" s="113"/>
      <c r="J36" s="113"/>
      <c r="K36" s="97"/>
    </row>
    <row r="37" spans="1:11" ht="12.75">
      <c r="A37" s="188"/>
      <c r="B37" s="134"/>
      <c r="C37" s="133"/>
      <c r="D37" s="133"/>
      <c r="E37" s="133"/>
      <c r="F37" s="231"/>
      <c r="G37" s="182"/>
      <c r="H37" s="15"/>
      <c r="I37" s="135" t="s">
        <v>64</v>
      </c>
      <c r="J37" s="136"/>
      <c r="K37" s="117"/>
    </row>
    <row r="38" spans="1:11" ht="12.75">
      <c r="A38" s="197"/>
      <c r="B38" s="233"/>
      <c r="C38" s="12" t="s">
        <v>75</v>
      </c>
      <c r="D38" s="12" t="s">
        <v>67</v>
      </c>
      <c r="E38" s="12" t="s">
        <v>69</v>
      </c>
      <c r="F38" s="815" t="s">
        <v>70</v>
      </c>
      <c r="G38" s="816"/>
      <c r="H38" s="12" t="s">
        <v>71</v>
      </c>
      <c r="I38" s="12" t="s">
        <v>72</v>
      </c>
      <c r="J38" s="138" t="s">
        <v>73</v>
      </c>
      <c r="K38" s="117"/>
    </row>
    <row r="39" spans="1:11" ht="12.75">
      <c r="A39" s="197"/>
      <c r="B39" s="233"/>
      <c r="C39" s="142"/>
      <c r="D39" s="142"/>
      <c r="E39" s="142"/>
      <c r="F39" s="145"/>
      <c r="G39" s="126"/>
      <c r="H39" s="150"/>
      <c r="I39" s="144" t="s">
        <v>74</v>
      </c>
      <c r="J39" s="145"/>
      <c r="K39" s="234"/>
    </row>
    <row r="40" spans="1:11" ht="12.75">
      <c r="A40" s="197"/>
      <c r="B40" s="233"/>
      <c r="C40" s="148"/>
      <c r="D40" s="148"/>
      <c r="E40" s="153" t="s">
        <v>146</v>
      </c>
      <c r="F40" s="181" t="s">
        <v>235</v>
      </c>
      <c r="G40" s="106"/>
      <c r="H40" s="235"/>
      <c r="I40" s="161">
        <f>J33</f>
        <v>5060.04</v>
      </c>
      <c r="J40" s="236">
        <f>J33</f>
        <v>5060.04</v>
      </c>
      <c r="K40" s="117"/>
    </row>
    <row r="41" spans="1:11" ht="12.75">
      <c r="A41" s="197"/>
      <c r="B41" s="233"/>
      <c r="C41" s="161"/>
      <c r="D41" s="12"/>
      <c r="E41" s="153"/>
      <c r="F41" s="226"/>
      <c r="G41" s="227"/>
      <c r="H41" s="160"/>
      <c r="I41" s="179"/>
      <c r="J41" s="177"/>
      <c r="K41" s="173"/>
    </row>
    <row r="42" spans="1:11" ht="12.75">
      <c r="A42" s="197"/>
      <c r="B42" s="233"/>
      <c r="C42" s="237">
        <v>5.5</v>
      </c>
      <c r="D42" s="12" t="s">
        <v>51</v>
      </c>
      <c r="E42" s="153" t="s">
        <v>149</v>
      </c>
      <c r="F42" s="226" t="s">
        <v>138</v>
      </c>
      <c r="G42" s="227"/>
      <c r="H42" s="160">
        <f>(C42/100)</f>
        <v>0.055</v>
      </c>
      <c r="I42" s="179"/>
      <c r="J42" s="177">
        <f>(+J40*H42)</f>
        <v>278.3</v>
      </c>
      <c r="K42" s="173">
        <f>J42/J$53</f>
        <v>0.0441</v>
      </c>
    </row>
    <row r="43" spans="1:11" ht="12.75">
      <c r="A43" s="197"/>
      <c r="B43" s="233"/>
      <c r="C43" s="161" t="s">
        <v>139</v>
      </c>
      <c r="D43" s="148"/>
      <c r="E43" s="148"/>
      <c r="F43" s="156"/>
      <c r="G43" s="113"/>
      <c r="H43" s="160"/>
      <c r="I43" s="161"/>
      <c r="J43" s="177"/>
      <c r="K43" s="238"/>
    </row>
    <row r="44" spans="1:11" ht="12.75">
      <c r="A44" s="197"/>
      <c r="B44" s="233"/>
      <c r="C44" s="245"/>
      <c r="D44" s="148"/>
      <c r="E44" s="153" t="s">
        <v>152</v>
      </c>
      <c r="F44" s="226" t="s">
        <v>424</v>
      </c>
      <c r="G44" s="113"/>
      <c r="H44" s="160"/>
      <c r="I44" s="179"/>
      <c r="J44" s="177">
        <f>SUM(J40:J42)</f>
        <v>5338.34</v>
      </c>
      <c r="K44" s="173"/>
    </row>
    <row r="45" spans="1:11" ht="12.75">
      <c r="A45" s="197"/>
      <c r="B45" s="233"/>
      <c r="C45" s="161">
        <v>0</v>
      </c>
      <c r="D45" s="12" t="s">
        <v>51</v>
      </c>
      <c r="E45" s="153" t="s">
        <v>154</v>
      </c>
      <c r="F45" s="226" t="s">
        <v>142</v>
      </c>
      <c r="G45" s="227"/>
      <c r="H45" s="160">
        <f>(C45/100)</f>
        <v>0</v>
      </c>
      <c r="I45" s="246">
        <f>J44</f>
        <v>5338.34</v>
      </c>
      <c r="J45" s="177">
        <f>(+J44*H45)</f>
        <v>0</v>
      </c>
      <c r="K45" s="173">
        <f>J45/J$53</f>
        <v>0</v>
      </c>
    </row>
    <row r="46" spans="1:11" ht="12.75">
      <c r="A46" s="197"/>
      <c r="B46" s="233"/>
      <c r="C46" s="161" t="s">
        <v>139</v>
      </c>
      <c r="D46" s="148"/>
      <c r="E46" s="148"/>
      <c r="F46" s="156"/>
      <c r="G46" s="113"/>
      <c r="H46" s="160"/>
      <c r="I46" s="161"/>
      <c r="J46" s="177"/>
      <c r="K46" s="238"/>
    </row>
    <row r="47" spans="1:11" ht="12.75">
      <c r="A47" s="197"/>
      <c r="B47" s="233"/>
      <c r="C47" s="161" t="s">
        <v>139</v>
      </c>
      <c r="D47" s="148"/>
      <c r="E47" s="153" t="s">
        <v>155</v>
      </c>
      <c r="F47" s="226" t="s">
        <v>425</v>
      </c>
      <c r="G47" s="113"/>
      <c r="H47" s="160"/>
      <c r="I47" s="179"/>
      <c r="J47" s="177">
        <f>SUM(J44:J45)</f>
        <v>5338.34</v>
      </c>
      <c r="K47" s="238"/>
    </row>
    <row r="48" spans="1:11" ht="12.75">
      <c r="A48" s="197"/>
      <c r="B48" s="233"/>
      <c r="C48" s="237">
        <v>9</v>
      </c>
      <c r="D48" s="12" t="s">
        <v>51</v>
      </c>
      <c r="E48" s="153" t="s">
        <v>156</v>
      </c>
      <c r="F48" s="226" t="s">
        <v>427</v>
      </c>
      <c r="G48" s="227"/>
      <c r="H48" s="160">
        <f>(C48/100)</f>
        <v>0.09</v>
      </c>
      <c r="I48" s="246">
        <f>J47</f>
        <v>5338.34</v>
      </c>
      <c r="J48" s="177">
        <f>(+J47*H48)</f>
        <v>480.45</v>
      </c>
      <c r="K48" s="173">
        <f>J48/J$53</f>
        <v>0.0761</v>
      </c>
    </row>
    <row r="49" spans="1:11" ht="12.75">
      <c r="A49" s="197"/>
      <c r="B49" s="233"/>
      <c r="C49" s="161" t="s">
        <v>139</v>
      </c>
      <c r="D49" s="148"/>
      <c r="E49" s="148"/>
      <c r="F49" s="156"/>
      <c r="G49" s="113"/>
      <c r="H49" s="160"/>
      <c r="I49" s="179"/>
      <c r="J49" s="177"/>
      <c r="K49" s="238"/>
    </row>
    <row r="50" spans="1:11" ht="12.75">
      <c r="A50" s="197"/>
      <c r="B50" s="233"/>
      <c r="C50" s="161" t="s">
        <v>139</v>
      </c>
      <c r="D50" s="148"/>
      <c r="E50" s="153" t="s">
        <v>158</v>
      </c>
      <c r="F50" s="226" t="s">
        <v>162</v>
      </c>
      <c r="G50" s="113"/>
      <c r="H50" s="160"/>
      <c r="I50" s="179"/>
      <c r="J50" s="177">
        <f>SUM(J47:J48)</f>
        <v>5818.79</v>
      </c>
      <c r="K50" s="238"/>
    </row>
    <row r="51" spans="1:11" ht="12.75">
      <c r="A51" s="197"/>
      <c r="B51" s="233"/>
      <c r="C51" s="255">
        <f>(15%*C48)+(9%*C48)+3.65+2</f>
        <v>7.81</v>
      </c>
      <c r="D51" s="12" t="s">
        <v>51</v>
      </c>
      <c r="E51" s="153" t="s">
        <v>165</v>
      </c>
      <c r="F51" s="226" t="s">
        <v>151</v>
      </c>
      <c r="G51" s="227"/>
      <c r="H51" s="160">
        <f>(C51/100)</f>
        <v>0.0781</v>
      </c>
      <c r="I51" s="179"/>
      <c r="J51" s="177">
        <f>(+J53*H51)</f>
        <v>492.95</v>
      </c>
      <c r="K51" s="173">
        <f>J51/J$53</f>
        <v>0.0781</v>
      </c>
    </row>
    <row r="52" spans="1:11" ht="12.75">
      <c r="A52" s="197"/>
      <c r="B52" s="233"/>
      <c r="C52" s="161" t="s">
        <v>139</v>
      </c>
      <c r="D52" s="148"/>
      <c r="E52" s="148"/>
      <c r="F52" s="156"/>
      <c r="G52" s="113"/>
      <c r="H52" s="179"/>
      <c r="I52" s="179"/>
      <c r="J52" s="177"/>
      <c r="K52" s="238"/>
    </row>
    <row r="53" spans="1:11" ht="13.5" thickBot="1">
      <c r="A53" s="260"/>
      <c r="B53" s="261"/>
      <c r="C53" s="262" t="s">
        <v>139</v>
      </c>
      <c r="D53" s="263"/>
      <c r="E53" s="264" t="s">
        <v>161</v>
      </c>
      <c r="F53" s="265" t="s">
        <v>426</v>
      </c>
      <c r="G53" s="266"/>
      <c r="H53" s="266"/>
      <c r="I53" s="266"/>
      <c r="J53" s="267">
        <f>J50/(1-H51)</f>
        <v>6311.74</v>
      </c>
      <c r="K53" s="268">
        <f>J53/J$53</f>
        <v>1</v>
      </c>
    </row>
    <row r="54" spans="1:11" ht="19.5" thickBot="1">
      <c r="A54" s="734" t="s">
        <v>434</v>
      </c>
      <c r="B54" s="735" t="s">
        <v>435</v>
      </c>
      <c r="C54" s="719"/>
      <c r="D54" s="719"/>
      <c r="E54" s="718"/>
      <c r="F54" s="736"/>
      <c r="G54" s="737"/>
      <c r="H54" s="737"/>
      <c r="I54" s="737"/>
      <c r="J54" s="738">
        <f>J53/'[1]Pick Up Fiorino Coleta Hospital'!$F$8</f>
        <v>2.05</v>
      </c>
      <c r="K54" s="739"/>
    </row>
    <row r="56" ht="15.75">
      <c r="A56" s="69" t="s">
        <v>169</v>
      </c>
    </row>
    <row r="58" spans="1:9" ht="15.75">
      <c r="A58" s="69" t="str">
        <f>'Trator de Esteira'!A61</f>
        <v>Patos de Minas-MG, 16 de Novembro de 2015.</v>
      </c>
      <c r="G58" s="13"/>
      <c r="H58" s="11"/>
      <c r="I58" s="11"/>
    </row>
    <row r="59" spans="5:9" ht="15">
      <c r="E59" s="704"/>
      <c r="G59" s="11"/>
      <c r="H59" s="11"/>
      <c r="I59" s="11"/>
    </row>
    <row r="65" spans="1:10" ht="12">
      <c r="A65" s="275"/>
      <c r="B65" s="275"/>
      <c r="C65" s="275"/>
      <c r="D65" s="275"/>
      <c r="E65" s="275"/>
      <c r="F65" s="275"/>
      <c r="G65" s="275"/>
      <c r="H65" s="275"/>
      <c r="I65" s="275"/>
      <c r="J65" s="275"/>
    </row>
    <row r="89" ht="2.25" customHeight="1"/>
    <row r="90" ht="12.75" customHeight="1"/>
    <row r="91" ht="0.75" customHeight="1"/>
    <row r="116" ht="12.75">
      <c r="L116" s="276"/>
    </row>
    <row r="117" ht="12.75">
      <c r="L117" s="276"/>
    </row>
    <row r="118" ht="12.75">
      <c r="L118" s="276"/>
    </row>
    <row r="119" ht="12.75">
      <c r="L119" s="276"/>
    </row>
    <row r="120" ht="12.75">
      <c r="L120" s="2"/>
    </row>
    <row r="121" spans="1:11" ht="12.75">
      <c r="A121" s="276"/>
      <c r="B121" s="276"/>
      <c r="C121" s="276"/>
      <c r="D121" s="276"/>
      <c r="E121" s="280"/>
      <c r="F121" s="280"/>
      <c r="G121" s="280"/>
      <c r="H121" s="280"/>
      <c r="I121" s="280"/>
      <c r="J121" s="280"/>
      <c r="K121" s="280"/>
    </row>
    <row r="122" spans="1:12" ht="12.75">
      <c r="A122" s="276"/>
      <c r="B122" s="276"/>
      <c r="C122" s="276"/>
      <c r="D122" s="276"/>
      <c r="E122" s="276"/>
      <c r="F122" s="276"/>
      <c r="G122" s="276"/>
      <c r="H122" s="276"/>
      <c r="I122" s="276"/>
      <c r="J122" s="281"/>
      <c r="K122" s="281"/>
      <c r="L122" s="178"/>
    </row>
    <row r="123" spans="1:11" ht="12.75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</row>
    <row r="124" spans="1:11" ht="12.7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</row>
    <row r="125" spans="1:11" ht="12.75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</row>
    <row r="126" spans="1:11" ht="12.75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</row>
    <row r="127" spans="1:12" ht="12.75">
      <c r="A127" s="2"/>
      <c r="B127" s="2"/>
      <c r="C127" s="2"/>
      <c r="D127" s="2"/>
      <c r="E127" s="282"/>
      <c r="F127" s="2"/>
      <c r="G127" s="2"/>
      <c r="H127" s="2"/>
      <c r="I127" s="2"/>
      <c r="J127" s="2"/>
      <c r="K127" s="2"/>
      <c r="L127" s="4"/>
    </row>
    <row r="128" spans="1:12" ht="12.75">
      <c r="A128" s="2"/>
      <c r="B128" s="2"/>
      <c r="C128" s="2"/>
      <c r="D128" s="2"/>
      <c r="E128" s="283"/>
      <c r="F128" s="283"/>
      <c r="G128" s="283"/>
      <c r="H128" s="283"/>
      <c r="I128" s="2"/>
      <c r="J128" s="2"/>
      <c r="K128" s="2"/>
      <c r="L128" s="4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4"/>
    </row>
    <row r="130" spans="1:12" ht="12.75">
      <c r="A130" s="283"/>
      <c r="B130" s="283"/>
      <c r="C130" s="283"/>
      <c r="D130" s="283"/>
      <c r="E130" s="283"/>
      <c r="F130" s="283"/>
      <c r="G130" s="283"/>
      <c r="H130" s="283"/>
      <c r="I130" s="283"/>
      <c r="J130" s="283"/>
      <c r="K130" s="283"/>
      <c r="L130" s="4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4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4"/>
    </row>
    <row r="133" spans="1:12" ht="12.75">
      <c r="A133" s="2"/>
      <c r="B133" s="5"/>
      <c r="C133" s="2"/>
      <c r="D133" s="279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4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5"/>
      <c r="C136" s="2"/>
      <c r="D136" s="279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">
      <c r="A139" s="4"/>
      <c r="B139" s="6"/>
      <c r="C139" s="4"/>
      <c r="D139" s="284"/>
      <c r="E139" s="4"/>
      <c r="F139" s="4"/>
      <c r="G139" s="4"/>
      <c r="H139" s="4"/>
      <c r="I139" s="4"/>
      <c r="J139" s="4"/>
      <c r="K139" s="4"/>
      <c r="L139" s="4"/>
    </row>
    <row r="140" spans="1:12" ht="1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4"/>
    </row>
    <row r="143" spans="1:12" ht="12">
      <c r="A143" s="4"/>
      <c r="B143" s="4"/>
      <c r="C143" s="6"/>
      <c r="D143" s="4"/>
      <c r="E143" s="4"/>
      <c r="F143" s="4"/>
      <c r="G143" s="285"/>
      <c r="H143" s="285"/>
      <c r="L143" s="4"/>
    </row>
    <row r="144" spans="1:12" ht="12">
      <c r="A144" s="7"/>
      <c r="B144" s="7"/>
      <c r="C144" s="7"/>
      <c r="D144" s="7"/>
      <c r="E144" s="7"/>
      <c r="F144" s="7"/>
      <c r="G144" s="7"/>
      <c r="H144" s="7"/>
      <c r="L144" s="4"/>
    </row>
    <row r="145" spans="1:12" ht="12">
      <c r="A145" s="4"/>
      <c r="B145" s="4"/>
      <c r="C145" s="4"/>
      <c r="D145" s="4"/>
      <c r="E145" s="4"/>
      <c r="F145" s="4"/>
      <c r="G145" s="4"/>
      <c r="H145" s="4"/>
      <c r="L145" s="4"/>
    </row>
    <row r="146" spans="1:12" ht="12">
      <c r="A146" s="4"/>
      <c r="B146" s="4"/>
      <c r="C146" s="4"/>
      <c r="D146" s="4"/>
      <c r="E146" s="4"/>
      <c r="F146" s="4"/>
      <c r="G146" s="4"/>
      <c r="H146" s="4"/>
      <c r="L146" s="4"/>
    </row>
    <row r="147" spans="2:12" ht="12">
      <c r="B147" s="286"/>
      <c r="C147" s="287"/>
      <c r="G147" s="288"/>
      <c r="H147" s="287"/>
      <c r="L147" s="4"/>
    </row>
    <row r="148" spans="7:12" ht="12">
      <c r="G148" s="289"/>
      <c r="L148" s="4"/>
    </row>
    <row r="149" spans="7:12" ht="12">
      <c r="G149" s="289"/>
      <c r="L149" s="4"/>
    </row>
    <row r="150" spans="2:12" ht="12">
      <c r="B150" s="286"/>
      <c r="C150" s="287"/>
      <c r="G150" s="288"/>
      <c r="H150" s="287"/>
      <c r="L150" s="4"/>
    </row>
    <row r="151" spans="7:12" ht="12">
      <c r="G151" s="29"/>
      <c r="L151" s="4"/>
    </row>
    <row r="152" spans="7:12" ht="12">
      <c r="G152" s="29"/>
      <c r="L152" s="4"/>
    </row>
    <row r="153" spans="2:12" ht="12">
      <c r="B153" s="3"/>
      <c r="C153" s="290"/>
      <c r="G153" s="288"/>
      <c r="H153" s="287"/>
      <c r="L153" s="4"/>
    </row>
    <row r="154" spans="7:12" ht="12">
      <c r="G154" s="29"/>
      <c r="L154" s="4"/>
    </row>
    <row r="155" spans="7:12" ht="12">
      <c r="G155" s="29"/>
      <c r="L155" s="4"/>
    </row>
    <row r="156" spans="2:12" ht="12">
      <c r="B156" s="3"/>
      <c r="C156" s="291"/>
      <c r="G156" s="288"/>
      <c r="H156" s="292"/>
      <c r="L156" s="4"/>
    </row>
    <row r="157" spans="10:12" ht="12">
      <c r="J157" s="4"/>
      <c r="K157" s="4"/>
      <c r="L157" s="4"/>
    </row>
    <row r="158" spans="1:12" ht="12">
      <c r="A158" s="293"/>
      <c r="B158" s="293"/>
      <c r="C158" s="293"/>
      <c r="D158" s="293"/>
      <c r="E158" s="293"/>
      <c r="F158" s="293"/>
      <c r="G158" s="293"/>
      <c r="H158" s="293"/>
      <c r="I158" s="293"/>
      <c r="J158" s="7"/>
      <c r="K158" s="7"/>
      <c r="L158" s="4"/>
    </row>
    <row r="159" spans="10:12" ht="12">
      <c r="J159" s="4"/>
      <c r="K159" s="4"/>
      <c r="L159" s="4"/>
    </row>
    <row r="160" spans="2:12" ht="12">
      <c r="B160" s="286"/>
      <c r="D160" s="292"/>
      <c r="J160" s="4"/>
      <c r="K160" s="4"/>
      <c r="L160" s="4"/>
    </row>
    <row r="161" spans="10:12" ht="12">
      <c r="J161" s="4"/>
      <c r="K161" s="4"/>
      <c r="L161" s="4"/>
    </row>
    <row r="162" spans="1:12" ht="12">
      <c r="A162" s="293"/>
      <c r="B162" s="293"/>
      <c r="C162" s="293"/>
      <c r="D162" s="293"/>
      <c r="E162" s="293"/>
      <c r="F162" s="293"/>
      <c r="G162" s="293"/>
      <c r="H162" s="293"/>
      <c r="I162" s="293"/>
      <c r="J162" s="7"/>
      <c r="K162" s="7"/>
      <c r="L162" s="4"/>
    </row>
    <row r="163" spans="1:12" ht="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</sheetData>
  <sheetProtection password="F184" sheet="1"/>
  <mergeCells count="2">
    <mergeCell ref="A5:J5"/>
    <mergeCell ref="F38:G38"/>
  </mergeCells>
  <printOptions horizontalCentered="1" verticalCentered="1"/>
  <pageMargins left="0.7874015748031497" right="0" top="0.984251968503937" bottom="0.984251968503937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55">
      <selection activeCell="G70" sqref="G70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26.875" style="1" customWidth="1"/>
    <col min="8" max="8" width="12.625" style="1" customWidth="1"/>
    <col min="9" max="9" width="13.00390625" style="1" customWidth="1"/>
    <col min="10" max="10" width="12.375" style="1" customWidth="1"/>
    <col min="11" max="11" width="7.875" style="1" customWidth="1"/>
    <col min="12" max="12" width="0.875" style="1" customWidth="1"/>
    <col min="13" max="16384" width="11.00390625" style="1" customWidth="1"/>
  </cols>
  <sheetData>
    <row r="1" spans="1:11" ht="22.5" customHeight="1" thickBot="1">
      <c r="A1" s="827" t="s">
        <v>295</v>
      </c>
      <c r="B1" s="828"/>
      <c r="C1" s="828"/>
      <c r="D1" s="828"/>
      <c r="E1" s="828"/>
      <c r="F1" s="828"/>
      <c r="G1" s="828"/>
      <c r="H1" s="828"/>
      <c r="I1" s="828"/>
      <c r="J1" s="828"/>
      <c r="K1" s="829"/>
    </row>
    <row r="2" spans="1:11" ht="20.25">
      <c r="A2" s="85" t="s">
        <v>296</v>
      </c>
      <c r="B2" s="86"/>
      <c r="C2" s="87"/>
      <c r="D2" s="86"/>
      <c r="E2" s="86"/>
      <c r="F2" s="86"/>
      <c r="G2" s="88"/>
      <c r="H2" s="86"/>
      <c r="I2" s="86"/>
      <c r="J2" s="86"/>
      <c r="K2" s="89"/>
    </row>
    <row r="3" spans="1:11" ht="20.25">
      <c r="A3" s="94" t="s">
        <v>297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</row>
    <row r="4" spans="1:11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</row>
    <row r="6" spans="1:11" ht="12.75">
      <c r="A6" s="104" t="s">
        <v>298</v>
      </c>
      <c r="B6" s="105"/>
      <c r="C6" s="105"/>
      <c r="D6" s="105"/>
      <c r="E6" s="114"/>
      <c r="F6" s="105"/>
      <c r="G6" s="105"/>
      <c r="H6" s="105"/>
      <c r="I6" s="105"/>
      <c r="J6" s="106"/>
      <c r="K6" s="115"/>
    </row>
    <row r="7" spans="1:11" ht="12.75">
      <c r="A7" s="109"/>
      <c r="B7" s="110"/>
      <c r="C7" s="110"/>
      <c r="D7" s="110"/>
      <c r="E7" s="110"/>
      <c r="F7" s="110"/>
      <c r="G7" s="110"/>
      <c r="H7" s="110"/>
      <c r="I7" s="110"/>
      <c r="J7" s="113"/>
      <c r="K7" s="117"/>
    </row>
    <row r="8" spans="1:11" ht="15.75">
      <c r="A8" s="109" t="s">
        <v>60</v>
      </c>
      <c r="B8" s="111" t="s">
        <v>61</v>
      </c>
      <c r="C8" s="110"/>
      <c r="D8" s="110"/>
      <c r="E8" s="110"/>
      <c r="F8" s="110"/>
      <c r="G8" s="110"/>
      <c r="H8" s="110"/>
      <c r="I8" s="120"/>
      <c r="J8" s="113"/>
      <c r="K8" s="117"/>
    </row>
    <row r="9" spans="1:11" ht="12.75">
      <c r="A9" s="109"/>
      <c r="B9" s="84"/>
      <c r="C9" s="84"/>
      <c r="D9" s="84"/>
      <c r="E9" s="84"/>
      <c r="F9" s="84"/>
      <c r="G9" s="84"/>
      <c r="H9" s="110"/>
      <c r="I9" s="120"/>
      <c r="J9" s="113"/>
      <c r="K9" s="117"/>
    </row>
    <row r="10" spans="1:11" ht="12.75">
      <c r="A10" s="109"/>
      <c r="B10" s="130"/>
      <c r="C10" s="131"/>
      <c r="D10" s="110"/>
      <c r="E10" s="130"/>
      <c r="F10" s="130"/>
      <c r="G10" s="113"/>
      <c r="H10" s="113"/>
      <c r="I10" s="113"/>
      <c r="J10" s="113"/>
      <c r="K10" s="117"/>
    </row>
    <row r="11" spans="1:14" ht="12.75">
      <c r="A11" s="121" t="s">
        <v>65</v>
      </c>
      <c r="B11" s="137">
        <v>0.291666666666667</v>
      </c>
      <c r="C11" s="123" t="s">
        <v>58</v>
      </c>
      <c r="D11" s="137">
        <v>1</v>
      </c>
      <c r="E11" s="124" t="s">
        <v>59</v>
      </c>
      <c r="F11" s="125"/>
      <c r="G11" s="126"/>
      <c r="H11" s="126"/>
      <c r="I11" s="126"/>
      <c r="J11" s="126"/>
      <c r="K11" s="117"/>
      <c r="N11" s="29"/>
    </row>
    <row r="12" spans="1:11" ht="12.75">
      <c r="A12" s="14"/>
      <c r="B12" s="15"/>
      <c r="C12" s="15"/>
      <c r="D12" s="15"/>
      <c r="E12" s="15"/>
      <c r="F12" s="15"/>
      <c r="G12" s="15"/>
      <c r="H12" s="15"/>
      <c r="I12" s="135" t="s">
        <v>64</v>
      </c>
      <c r="J12" s="139"/>
      <c r="K12" s="140"/>
    </row>
    <row r="13" spans="1:11" ht="12.75">
      <c r="A13" s="16" t="s">
        <v>75</v>
      </c>
      <c r="B13" s="12" t="s">
        <v>67</v>
      </c>
      <c r="C13" s="12" t="s">
        <v>76</v>
      </c>
      <c r="D13" s="12" t="s">
        <v>67</v>
      </c>
      <c r="E13" s="12" t="s">
        <v>66</v>
      </c>
      <c r="F13" s="12" t="s">
        <v>69</v>
      </c>
      <c r="G13" s="12" t="s">
        <v>70</v>
      </c>
      <c r="H13" s="12" t="s">
        <v>71</v>
      </c>
      <c r="I13" s="12" t="s">
        <v>72</v>
      </c>
      <c r="J13" s="138" t="s">
        <v>73</v>
      </c>
      <c r="K13" s="147"/>
    </row>
    <row r="14" spans="1:11" ht="12.75">
      <c r="A14" s="149"/>
      <c r="B14" s="150"/>
      <c r="C14" s="150"/>
      <c r="D14" s="150"/>
      <c r="E14" s="150"/>
      <c r="F14" s="150"/>
      <c r="G14" s="150"/>
      <c r="H14" s="150"/>
      <c r="I14" s="144" t="s">
        <v>74</v>
      </c>
      <c r="J14" s="151"/>
      <c r="K14" s="140"/>
    </row>
    <row r="15" spans="1:11" ht="12.75">
      <c r="A15" s="197"/>
      <c r="B15" s="133"/>
      <c r="C15" s="133"/>
      <c r="D15" s="113"/>
      <c r="E15" s="133"/>
      <c r="F15" s="113"/>
      <c r="G15" s="133"/>
      <c r="H15" s="113"/>
      <c r="I15" s="133"/>
      <c r="J15" s="113"/>
      <c r="K15" s="117"/>
    </row>
    <row r="16" spans="1:11" ht="12.75">
      <c r="A16" s="197"/>
      <c r="B16" s="148"/>
      <c r="C16" s="148"/>
      <c r="D16" s="113"/>
      <c r="E16" s="148"/>
      <c r="F16" s="154" t="s">
        <v>79</v>
      </c>
      <c r="G16" s="12" t="s">
        <v>80</v>
      </c>
      <c r="H16" s="113"/>
      <c r="I16" s="148"/>
      <c r="J16" s="113"/>
      <c r="K16" s="117"/>
    </row>
    <row r="17" spans="1:11" ht="12.75">
      <c r="A17" s="197"/>
      <c r="B17" s="148"/>
      <c r="C17" s="148"/>
      <c r="D17" s="113"/>
      <c r="E17" s="148"/>
      <c r="F17" s="113"/>
      <c r="G17" s="148"/>
      <c r="H17" s="113"/>
      <c r="I17" s="148"/>
      <c r="J17" s="113"/>
      <c r="K17" s="117"/>
    </row>
    <row r="18" spans="1:11" ht="12.75">
      <c r="A18" s="375"/>
      <c r="B18" s="148"/>
      <c r="C18" s="161"/>
      <c r="D18" s="113"/>
      <c r="E18" s="169">
        <f>2+(2/24)</f>
        <v>2.08</v>
      </c>
      <c r="F18" s="116" t="s">
        <v>89</v>
      </c>
      <c r="G18" s="170" t="s">
        <v>299</v>
      </c>
      <c r="H18" s="376">
        <f>E18</f>
        <v>2.08</v>
      </c>
      <c r="I18" s="200">
        <v>1292</v>
      </c>
      <c r="J18" s="377">
        <f>(H18*I18)</f>
        <v>2687.36</v>
      </c>
      <c r="K18" s="173">
        <f aca="true" t="shared" si="0" ref="K18:K34">J18/J$60</f>
        <v>0.0626</v>
      </c>
    </row>
    <row r="19" spans="1:11" ht="12.75">
      <c r="A19" s="378">
        <v>20</v>
      </c>
      <c r="B19" s="12" t="s">
        <v>193</v>
      </c>
      <c r="C19" s="161">
        <v>220</v>
      </c>
      <c r="D19" s="128" t="s">
        <v>194</v>
      </c>
      <c r="E19" s="175">
        <f>2*26*1</f>
        <v>52</v>
      </c>
      <c r="F19" s="116" t="s">
        <v>100</v>
      </c>
      <c r="G19" s="170" t="s">
        <v>402</v>
      </c>
      <c r="H19" s="376">
        <f>A19/100</f>
        <v>0.2</v>
      </c>
      <c r="I19" s="169">
        <f>I18/C19</f>
        <v>5.87</v>
      </c>
      <c r="J19" s="377">
        <f>(I19*H19)*E19</f>
        <v>61.05</v>
      </c>
      <c r="K19" s="173">
        <f t="shared" si="0"/>
        <v>0.0014</v>
      </c>
    </row>
    <row r="20" spans="1:11" ht="12.75">
      <c r="A20" s="378">
        <v>20</v>
      </c>
      <c r="B20" s="12" t="s">
        <v>193</v>
      </c>
      <c r="C20" s="161">
        <v>220</v>
      </c>
      <c r="D20" s="128" t="s">
        <v>194</v>
      </c>
      <c r="E20" s="169">
        <f>E18</f>
        <v>2.08</v>
      </c>
      <c r="F20" s="116" t="s">
        <v>109</v>
      </c>
      <c r="G20" s="170" t="s">
        <v>301</v>
      </c>
      <c r="H20" s="376">
        <f>A20/100</f>
        <v>0.2</v>
      </c>
      <c r="I20" s="169">
        <v>788</v>
      </c>
      <c r="J20" s="377">
        <f>(I20*H20)*E20</f>
        <v>327.81</v>
      </c>
      <c r="K20" s="173">
        <f t="shared" si="0"/>
        <v>0.0076</v>
      </c>
    </row>
    <row r="21" spans="1:11" ht="12.75">
      <c r="A21" s="176">
        <v>100</v>
      </c>
      <c r="B21" s="12" t="s">
        <v>193</v>
      </c>
      <c r="C21" s="161">
        <v>220</v>
      </c>
      <c r="D21" s="12" t="s">
        <v>194</v>
      </c>
      <c r="E21" s="175">
        <f>8*2</f>
        <v>16</v>
      </c>
      <c r="F21" s="170" t="s">
        <v>113</v>
      </c>
      <c r="G21" s="170" t="s">
        <v>195</v>
      </c>
      <c r="H21" s="199">
        <f>(+A21/100)+1</f>
        <v>2</v>
      </c>
      <c r="I21" s="169">
        <f>I18/C21</f>
        <v>5.87</v>
      </c>
      <c r="J21" s="172">
        <f>I21*H21*E21</f>
        <v>187.84</v>
      </c>
      <c r="K21" s="173">
        <f t="shared" si="0"/>
        <v>0.0044</v>
      </c>
    </row>
    <row r="22" spans="1:14" ht="12.75">
      <c r="A22" s="378"/>
      <c r="B22" s="148"/>
      <c r="C22" s="161"/>
      <c r="D22" s="113"/>
      <c r="E22" s="169">
        <f>8+(8/96)</f>
        <v>8.08</v>
      </c>
      <c r="F22" s="116" t="s">
        <v>116</v>
      </c>
      <c r="G22" s="170" t="s">
        <v>300</v>
      </c>
      <c r="H22" s="376">
        <f>E22</f>
        <v>8.08</v>
      </c>
      <c r="I22" s="200">
        <v>850.73</v>
      </c>
      <c r="J22" s="377">
        <f>(H22*I22)</f>
        <v>6873.9</v>
      </c>
      <c r="K22" s="173">
        <f t="shared" si="0"/>
        <v>0.1602</v>
      </c>
      <c r="N22" s="764"/>
    </row>
    <row r="23" spans="1:11" ht="12.75">
      <c r="A23" s="378">
        <v>20</v>
      </c>
      <c r="B23" s="12" t="s">
        <v>193</v>
      </c>
      <c r="C23" s="161">
        <v>220</v>
      </c>
      <c r="D23" s="128" t="s">
        <v>194</v>
      </c>
      <c r="E23" s="175">
        <f>2*26*4</f>
        <v>208</v>
      </c>
      <c r="F23" s="116" t="s">
        <v>120</v>
      </c>
      <c r="G23" s="170" t="s">
        <v>402</v>
      </c>
      <c r="H23" s="376">
        <f>A23/100</f>
        <v>0.2</v>
      </c>
      <c r="I23" s="169">
        <f>I22/C23</f>
        <v>3.87</v>
      </c>
      <c r="J23" s="377">
        <f>(I23*H23)*E23</f>
        <v>160.99</v>
      </c>
      <c r="K23" s="173">
        <f t="shared" si="0"/>
        <v>0.0038</v>
      </c>
    </row>
    <row r="24" spans="1:14" ht="12.75">
      <c r="A24" s="176">
        <v>100</v>
      </c>
      <c r="B24" s="12" t="s">
        <v>193</v>
      </c>
      <c r="C24" s="161">
        <v>220</v>
      </c>
      <c r="D24" s="12" t="s">
        <v>194</v>
      </c>
      <c r="E24" s="175">
        <f>8*E22*2</f>
        <v>129</v>
      </c>
      <c r="F24" s="116" t="s">
        <v>125</v>
      </c>
      <c r="G24" s="170" t="s">
        <v>195</v>
      </c>
      <c r="H24" s="199">
        <f>(+A24/100)+1</f>
        <v>2</v>
      </c>
      <c r="I24" s="169">
        <f>I22/C24</f>
        <v>3.87</v>
      </c>
      <c r="J24" s="172">
        <f>I24*H24*E24</f>
        <v>998.46</v>
      </c>
      <c r="K24" s="173">
        <f t="shared" si="0"/>
        <v>0.0233</v>
      </c>
      <c r="N24" s="355"/>
    </row>
    <row r="25" spans="1:11" ht="12.75">
      <c r="A25" s="378">
        <v>40</v>
      </c>
      <c r="B25" s="12" t="s">
        <v>193</v>
      </c>
      <c r="C25" s="161">
        <v>220</v>
      </c>
      <c r="D25" s="128" t="s">
        <v>194</v>
      </c>
      <c r="E25" s="169">
        <f>E22</f>
        <v>8.08</v>
      </c>
      <c r="F25" s="153" t="s">
        <v>132</v>
      </c>
      <c r="G25" s="170" t="s">
        <v>301</v>
      </c>
      <c r="H25" s="376">
        <f>A25/100</f>
        <v>0.4</v>
      </c>
      <c r="I25" s="169">
        <v>788</v>
      </c>
      <c r="J25" s="377">
        <f>(I25*H25)*E25</f>
        <v>2546.82</v>
      </c>
      <c r="K25" s="173">
        <f t="shared" si="0"/>
        <v>0.0594</v>
      </c>
    </row>
    <row r="26" spans="1:11" ht="12.75">
      <c r="A26" s="378"/>
      <c r="B26" s="12"/>
      <c r="C26" s="161"/>
      <c r="D26" s="128"/>
      <c r="E26" s="169">
        <v>2</v>
      </c>
      <c r="F26" s="153" t="s">
        <v>203</v>
      </c>
      <c r="G26" s="170" t="s">
        <v>401</v>
      </c>
      <c r="H26" s="376">
        <f>E26</f>
        <v>2</v>
      </c>
      <c r="I26" s="200">
        <v>1500</v>
      </c>
      <c r="J26" s="377">
        <f>(H26*I26)</f>
        <v>3000</v>
      </c>
      <c r="K26" s="173">
        <f t="shared" si="0"/>
        <v>0.0699</v>
      </c>
    </row>
    <row r="27" spans="1:11" ht="12.75">
      <c r="A27" s="768">
        <v>82.26</v>
      </c>
      <c r="B27" s="12" t="s">
        <v>198</v>
      </c>
      <c r="C27" s="161" t="s">
        <v>139</v>
      </c>
      <c r="D27" s="154" t="s">
        <v>84</v>
      </c>
      <c r="E27" s="161" t="s">
        <v>88</v>
      </c>
      <c r="F27" s="116" t="s">
        <v>206</v>
      </c>
      <c r="G27" s="153" t="s">
        <v>199</v>
      </c>
      <c r="H27" s="379">
        <f>A27/100</f>
        <v>0.823</v>
      </c>
      <c r="I27" s="161">
        <f>SUM(J18:J26)</f>
        <v>16844.23</v>
      </c>
      <c r="J27" s="380">
        <f>(I27*H27)</f>
        <v>13862.8</v>
      </c>
      <c r="K27" s="173">
        <f t="shared" si="0"/>
        <v>0.3232</v>
      </c>
    </row>
    <row r="28" spans="1:11" ht="12.75">
      <c r="A28" s="378">
        <v>1</v>
      </c>
      <c r="B28" s="12" t="s">
        <v>200</v>
      </c>
      <c r="C28" s="161">
        <v>1</v>
      </c>
      <c r="D28" s="128" t="s">
        <v>87</v>
      </c>
      <c r="E28" s="161">
        <f>E18+E22+E26</f>
        <v>12.16</v>
      </c>
      <c r="F28" s="153" t="s">
        <v>208</v>
      </c>
      <c r="G28" s="153" t="s">
        <v>201</v>
      </c>
      <c r="H28" s="379">
        <f aca="true" t="shared" si="1" ref="H28:H33">E28</f>
        <v>12.16</v>
      </c>
      <c r="I28" s="169">
        <v>114.4</v>
      </c>
      <c r="J28" s="380">
        <f>(+I28*H28)*A28/C28</f>
        <v>1391.1</v>
      </c>
      <c r="K28" s="173">
        <f t="shared" si="0"/>
        <v>0.0324</v>
      </c>
    </row>
    <row r="29" spans="1:11" ht="12.75">
      <c r="A29" s="378">
        <v>2</v>
      </c>
      <c r="B29" s="12" t="s">
        <v>202</v>
      </c>
      <c r="C29" s="161">
        <v>6</v>
      </c>
      <c r="D29" s="128" t="s">
        <v>87</v>
      </c>
      <c r="E29" s="161">
        <f>E28-E26</f>
        <v>10.16</v>
      </c>
      <c r="F29" s="116" t="s">
        <v>210</v>
      </c>
      <c r="G29" s="153" t="s">
        <v>204</v>
      </c>
      <c r="H29" s="379">
        <f t="shared" si="1"/>
        <v>10.16</v>
      </c>
      <c r="I29" s="255">
        <v>90</v>
      </c>
      <c r="J29" s="380">
        <f>(I29*H29*A29)/C29</f>
        <v>304.8</v>
      </c>
      <c r="K29" s="173">
        <f t="shared" si="0"/>
        <v>0.0071</v>
      </c>
    </row>
    <row r="30" spans="1:11" ht="12.75">
      <c r="A30" s="378">
        <v>1</v>
      </c>
      <c r="B30" s="12" t="s">
        <v>202</v>
      </c>
      <c r="C30" s="161">
        <v>1</v>
      </c>
      <c r="D30" s="128" t="s">
        <v>87</v>
      </c>
      <c r="E30" s="161">
        <f>E28</f>
        <v>12.16</v>
      </c>
      <c r="F30" s="116" t="s">
        <v>212</v>
      </c>
      <c r="G30" s="153" t="s">
        <v>209</v>
      </c>
      <c r="H30" s="379">
        <f t="shared" si="1"/>
        <v>12.16</v>
      </c>
      <c r="I30" s="724">
        <v>16</v>
      </c>
      <c r="J30" s="380">
        <f>(+I30*H30)*A30*C30</f>
        <v>194.56</v>
      </c>
      <c r="K30" s="173">
        <f t="shared" si="0"/>
        <v>0.0045</v>
      </c>
    </row>
    <row r="31" spans="1:11" ht="12.75">
      <c r="A31" s="176">
        <f>2*26</f>
        <v>52</v>
      </c>
      <c r="B31" s="12" t="s">
        <v>202</v>
      </c>
      <c r="C31" s="161">
        <v>1</v>
      </c>
      <c r="D31" s="12" t="s">
        <v>87</v>
      </c>
      <c r="E31" s="161">
        <f>E28</f>
        <v>12.16</v>
      </c>
      <c r="F31" s="116" t="s">
        <v>214</v>
      </c>
      <c r="G31" s="153" t="s">
        <v>213</v>
      </c>
      <c r="H31" s="195">
        <f t="shared" si="1"/>
        <v>12.16</v>
      </c>
      <c r="I31" s="169">
        <v>2.1</v>
      </c>
      <c r="J31" s="177">
        <f>(I31*H31*A31)</f>
        <v>1327.87</v>
      </c>
      <c r="K31" s="173">
        <f t="shared" si="0"/>
        <v>0.031</v>
      </c>
    </row>
    <row r="32" spans="1:11" ht="12.75">
      <c r="A32" s="176">
        <v>1</v>
      </c>
      <c r="B32" s="12" t="s">
        <v>202</v>
      </c>
      <c r="C32" s="161">
        <v>1</v>
      </c>
      <c r="D32" s="12" t="s">
        <v>87</v>
      </c>
      <c r="E32" s="161">
        <f>E28</f>
        <v>12.16</v>
      </c>
      <c r="F32" s="116" t="s">
        <v>216</v>
      </c>
      <c r="G32" s="153" t="s">
        <v>215</v>
      </c>
      <c r="H32" s="195">
        <f t="shared" si="1"/>
        <v>12.16</v>
      </c>
      <c r="I32" s="169">
        <f>I27</f>
        <v>16844.23</v>
      </c>
      <c r="J32" s="177">
        <f>(I32*0.06)*-1</f>
        <v>-1010.65</v>
      </c>
      <c r="K32" s="173">
        <f t="shared" si="0"/>
        <v>-0.0236</v>
      </c>
    </row>
    <row r="33" spans="1:11" ht="12.75">
      <c r="A33" s="378">
        <v>2</v>
      </c>
      <c r="B33" s="12" t="s">
        <v>202</v>
      </c>
      <c r="C33" s="161">
        <v>6</v>
      </c>
      <c r="D33" s="128" t="s">
        <v>87</v>
      </c>
      <c r="E33" s="161">
        <f>E32-E26</f>
        <v>10.16</v>
      </c>
      <c r="F33" s="116" t="s">
        <v>284</v>
      </c>
      <c r="G33" s="153" t="s">
        <v>211</v>
      </c>
      <c r="H33" s="379">
        <f t="shared" si="1"/>
        <v>10.16</v>
      </c>
      <c r="I33" s="255">
        <v>45</v>
      </c>
      <c r="J33" s="380">
        <f>(I33*H33*A33)/C33</f>
        <v>152.4</v>
      </c>
      <c r="K33" s="173">
        <f t="shared" si="0"/>
        <v>0.0036</v>
      </c>
    </row>
    <row r="34" spans="1:11" ht="12.75">
      <c r="A34" s="378">
        <v>4</v>
      </c>
      <c r="B34" s="12" t="s">
        <v>202</v>
      </c>
      <c r="C34" s="161">
        <v>1</v>
      </c>
      <c r="D34" s="128" t="s">
        <v>87</v>
      </c>
      <c r="E34" s="161">
        <f>E22</f>
        <v>8.08</v>
      </c>
      <c r="F34" s="116" t="s">
        <v>285</v>
      </c>
      <c r="G34" s="153" t="s">
        <v>410</v>
      </c>
      <c r="H34" s="379">
        <f>E34</f>
        <v>8.08</v>
      </c>
      <c r="I34" s="255">
        <v>15</v>
      </c>
      <c r="J34" s="380">
        <f>(I34*H34*A34)/C34</f>
        <v>484.8</v>
      </c>
      <c r="K34" s="173">
        <f t="shared" si="0"/>
        <v>0.0113</v>
      </c>
    </row>
    <row r="35" spans="1:11" ht="12.75">
      <c r="A35" s="378"/>
      <c r="B35" s="12"/>
      <c r="C35" s="161"/>
      <c r="D35" s="128"/>
      <c r="E35" s="161"/>
      <c r="F35" s="116"/>
      <c r="G35" s="226"/>
      <c r="H35" s="765"/>
      <c r="I35" s="127"/>
      <c r="J35" s="380"/>
      <c r="K35" s="173"/>
    </row>
    <row r="36" spans="1:11" ht="12.75">
      <c r="A36" s="174"/>
      <c r="B36" s="148"/>
      <c r="C36" s="161"/>
      <c r="D36" s="148"/>
      <c r="E36" s="148"/>
      <c r="F36" s="170" t="s">
        <v>287</v>
      </c>
      <c r="G36" s="156" t="s">
        <v>445</v>
      </c>
      <c r="H36" s="749"/>
      <c r="I36" s="127"/>
      <c r="J36" s="380">
        <f>SUM(J18:J35)</f>
        <v>33551.91</v>
      </c>
      <c r="K36" s="173"/>
    </row>
    <row r="37" spans="1:11" ht="12.75">
      <c r="A37" s="174"/>
      <c r="B37" s="148"/>
      <c r="C37" s="161"/>
      <c r="D37" s="148"/>
      <c r="E37" s="424"/>
      <c r="F37" s="170"/>
      <c r="G37" s="752"/>
      <c r="H37" s="753"/>
      <c r="I37" s="751"/>
      <c r="J37" s="750"/>
      <c r="K37" s="173"/>
    </row>
    <row r="38" spans="1:11" ht="12.75">
      <c r="A38" s="760">
        <v>2.5</v>
      </c>
      <c r="B38" s="168" t="s">
        <v>198</v>
      </c>
      <c r="C38" s="161"/>
      <c r="D38" s="12"/>
      <c r="E38" s="424"/>
      <c r="F38" s="170" t="s">
        <v>456</v>
      </c>
      <c r="G38" s="226" t="s">
        <v>448</v>
      </c>
      <c r="H38" s="186">
        <f>A38/100</f>
        <v>0.025</v>
      </c>
      <c r="I38" s="246">
        <f>J36</f>
        <v>33551.91</v>
      </c>
      <c r="J38" s="172">
        <f>H38*I38</f>
        <v>838.8</v>
      </c>
      <c r="K38" s="173">
        <f>J38/J$60</f>
        <v>0.0196</v>
      </c>
    </row>
    <row r="39" spans="1:11" ht="12.75">
      <c r="A39" s="378"/>
      <c r="B39" s="12"/>
      <c r="C39" s="161"/>
      <c r="D39" s="128"/>
      <c r="E39" s="159"/>
      <c r="F39" s="381"/>
      <c r="G39" s="226"/>
      <c r="H39" s="379"/>
      <c r="I39" s="377"/>
      <c r="J39" s="380"/>
      <c r="K39" s="356"/>
    </row>
    <row r="40" spans="1:11" ht="12.75">
      <c r="A40" s="239"/>
      <c r="B40" s="142"/>
      <c r="C40" s="144"/>
      <c r="D40" s="126"/>
      <c r="E40" s="142"/>
      <c r="F40" s="382" t="s">
        <v>288</v>
      </c>
      <c r="G40" s="218" t="s">
        <v>457</v>
      </c>
      <c r="H40" s="224"/>
      <c r="I40" s="224"/>
      <c r="J40" s="225">
        <f>SUM(J36:J39)</f>
        <v>34390.71</v>
      </c>
      <c r="K40" s="356">
        <f>J40/J$60</f>
        <v>0.8017</v>
      </c>
    </row>
    <row r="41" spans="1:11" ht="12.75">
      <c r="A41" s="197"/>
      <c r="B41" s="113"/>
      <c r="C41" s="113"/>
      <c r="D41" s="113"/>
      <c r="E41" s="113"/>
      <c r="F41" s="154"/>
      <c r="G41" s="154"/>
      <c r="H41" s="154"/>
      <c r="I41" s="154"/>
      <c r="J41" s="127"/>
      <c r="K41" s="228"/>
    </row>
    <row r="42" spans="1:11" ht="20.25">
      <c r="A42" s="229" t="s">
        <v>136</v>
      </c>
      <c r="B42" s="230"/>
      <c r="C42" s="230"/>
      <c r="D42" s="230"/>
      <c r="E42" s="230"/>
      <c r="F42" s="230"/>
      <c r="G42" s="230"/>
      <c r="H42" s="230"/>
      <c r="I42" s="230"/>
      <c r="J42" s="230"/>
      <c r="K42" s="192"/>
    </row>
    <row r="43" spans="1:11" ht="20.25">
      <c r="A43" s="197"/>
      <c r="B43" s="113"/>
      <c r="C43" s="113"/>
      <c r="D43" s="113"/>
      <c r="E43" s="113"/>
      <c r="F43" s="113"/>
      <c r="G43" s="155"/>
      <c r="H43" s="113"/>
      <c r="I43" s="113"/>
      <c r="J43" s="113"/>
      <c r="K43" s="97"/>
    </row>
    <row r="44" spans="1:11" ht="12.75">
      <c r="A44" s="188"/>
      <c r="B44" s="134"/>
      <c r="C44" s="133"/>
      <c r="D44" s="133"/>
      <c r="E44" s="133"/>
      <c r="F44" s="231"/>
      <c r="G44" s="182"/>
      <c r="H44" s="15"/>
      <c r="I44" s="135" t="s">
        <v>64</v>
      </c>
      <c r="J44" s="136"/>
      <c r="K44" s="117"/>
    </row>
    <row r="45" spans="1:11" ht="12.75">
      <c r="A45" s="197"/>
      <c r="B45" s="233"/>
      <c r="C45" s="12" t="s">
        <v>75</v>
      </c>
      <c r="D45" s="12" t="s">
        <v>67</v>
      </c>
      <c r="E45" s="12" t="s">
        <v>69</v>
      </c>
      <c r="F45" s="815" t="s">
        <v>70</v>
      </c>
      <c r="G45" s="816"/>
      <c r="H45" s="12" t="s">
        <v>71</v>
      </c>
      <c r="I45" s="12" t="s">
        <v>72</v>
      </c>
      <c r="J45" s="138" t="s">
        <v>73</v>
      </c>
      <c r="K45" s="117"/>
    </row>
    <row r="46" spans="1:11" ht="12.75">
      <c r="A46" s="197"/>
      <c r="B46" s="233"/>
      <c r="C46" s="142"/>
      <c r="D46" s="142"/>
      <c r="E46" s="142"/>
      <c r="F46" s="145"/>
      <c r="G46" s="126"/>
      <c r="H46" s="150"/>
      <c r="I46" s="144" t="s">
        <v>74</v>
      </c>
      <c r="J46" s="145"/>
      <c r="K46" s="234"/>
    </row>
    <row r="47" spans="1:11" ht="12.75">
      <c r="A47" s="197"/>
      <c r="B47" s="233"/>
      <c r="C47" s="148"/>
      <c r="D47" s="148"/>
      <c r="E47" s="153" t="s">
        <v>146</v>
      </c>
      <c r="F47" s="181" t="s">
        <v>458</v>
      </c>
      <c r="G47" s="106"/>
      <c r="H47" s="235"/>
      <c r="I47" s="161">
        <f>J40</f>
        <v>34390.71</v>
      </c>
      <c r="J47" s="236">
        <f>J40</f>
        <v>34390.71</v>
      </c>
      <c r="K47" s="117"/>
    </row>
    <row r="48" spans="1:11" ht="12.75">
      <c r="A48" s="197"/>
      <c r="B48" s="233"/>
      <c r="C48" s="706"/>
      <c r="D48" s="12"/>
      <c r="E48" s="153"/>
      <c r="F48" s="226"/>
      <c r="G48" s="227"/>
      <c r="H48" s="160"/>
      <c r="I48" s="179"/>
      <c r="J48" s="177"/>
      <c r="K48" s="173"/>
    </row>
    <row r="49" spans="1:11" ht="12.75">
      <c r="A49" s="197"/>
      <c r="B49" s="233"/>
      <c r="C49" s="237">
        <v>5.5</v>
      </c>
      <c r="D49" s="12" t="s">
        <v>51</v>
      </c>
      <c r="E49" s="153" t="s">
        <v>149</v>
      </c>
      <c r="F49" s="226" t="s">
        <v>138</v>
      </c>
      <c r="G49" s="227"/>
      <c r="H49" s="160">
        <f>(C49/100)</f>
        <v>0.055</v>
      </c>
      <c r="I49" s="179"/>
      <c r="J49" s="177">
        <f>(+J47*H49)</f>
        <v>1891.49</v>
      </c>
      <c r="K49" s="173">
        <f>J49/J$60</f>
        <v>0.0441</v>
      </c>
    </row>
    <row r="50" spans="1:11" ht="12.75">
      <c r="A50" s="197"/>
      <c r="B50" s="233"/>
      <c r="C50" s="161" t="s">
        <v>139</v>
      </c>
      <c r="D50" s="148"/>
      <c r="E50" s="148"/>
      <c r="F50" s="156"/>
      <c r="G50" s="113"/>
      <c r="H50" s="160"/>
      <c r="I50" s="161"/>
      <c r="J50" s="177"/>
      <c r="K50" s="238"/>
    </row>
    <row r="51" spans="1:11" ht="12.75">
      <c r="A51" s="197"/>
      <c r="B51" s="233"/>
      <c r="C51" s="245"/>
      <c r="D51" s="148"/>
      <c r="E51" s="153" t="s">
        <v>152</v>
      </c>
      <c r="F51" s="226" t="s">
        <v>424</v>
      </c>
      <c r="G51" s="113"/>
      <c r="H51" s="160"/>
      <c r="I51" s="179"/>
      <c r="J51" s="177">
        <f>SUM(J47:J49)</f>
        <v>36282.2</v>
      </c>
      <c r="K51" s="173"/>
    </row>
    <row r="52" spans="1:11" ht="12.75">
      <c r="A52" s="197"/>
      <c r="B52" s="233"/>
      <c r="C52" s="161">
        <v>0</v>
      </c>
      <c r="D52" s="12" t="s">
        <v>51</v>
      </c>
      <c r="E52" s="153" t="s">
        <v>154</v>
      </c>
      <c r="F52" s="226" t="s">
        <v>142</v>
      </c>
      <c r="G52" s="227"/>
      <c r="H52" s="160">
        <f>(C52/100)</f>
        <v>0</v>
      </c>
      <c r="I52" s="246">
        <f>J51</f>
        <v>36282.2</v>
      </c>
      <c r="J52" s="177">
        <f>(+J51*H52)</f>
        <v>0</v>
      </c>
      <c r="K52" s="173">
        <f>J52/J$60</f>
        <v>0</v>
      </c>
    </row>
    <row r="53" spans="1:11" ht="12.75">
      <c r="A53" s="197"/>
      <c r="B53" s="233"/>
      <c r="C53" s="161" t="s">
        <v>139</v>
      </c>
      <c r="D53" s="148"/>
      <c r="E53" s="148"/>
      <c r="F53" s="156"/>
      <c r="G53" s="113"/>
      <c r="H53" s="160"/>
      <c r="I53" s="161"/>
      <c r="J53" s="177"/>
      <c r="K53" s="238"/>
    </row>
    <row r="54" spans="1:11" ht="12.75">
      <c r="A54" s="197"/>
      <c r="B54" s="233"/>
      <c r="C54" s="161" t="s">
        <v>139</v>
      </c>
      <c r="D54" s="148"/>
      <c r="E54" s="153" t="s">
        <v>155</v>
      </c>
      <c r="F54" s="226" t="s">
        <v>425</v>
      </c>
      <c r="G54" s="113"/>
      <c r="H54" s="160"/>
      <c r="I54" s="179"/>
      <c r="J54" s="177">
        <f>SUM(J51:J52)</f>
        <v>36282.2</v>
      </c>
      <c r="K54" s="238"/>
    </row>
    <row r="55" spans="1:11" ht="12.75">
      <c r="A55" s="197"/>
      <c r="B55" s="233"/>
      <c r="C55" s="237">
        <v>9</v>
      </c>
      <c r="D55" s="12" t="s">
        <v>51</v>
      </c>
      <c r="E55" s="153" t="s">
        <v>156</v>
      </c>
      <c r="F55" s="226" t="s">
        <v>427</v>
      </c>
      <c r="G55" s="227"/>
      <c r="H55" s="160">
        <f>(C55/100)</f>
        <v>0.09</v>
      </c>
      <c r="I55" s="246">
        <f>J54</f>
        <v>36282.2</v>
      </c>
      <c r="J55" s="177">
        <f>(+J54*H55)</f>
        <v>3265.4</v>
      </c>
      <c r="K55" s="173">
        <f>J55/J$60</f>
        <v>0.0761</v>
      </c>
    </row>
    <row r="56" spans="1:11" ht="12.75">
      <c r="A56" s="197"/>
      <c r="B56" s="233"/>
      <c r="C56" s="161" t="s">
        <v>139</v>
      </c>
      <c r="D56" s="148"/>
      <c r="E56" s="148"/>
      <c r="F56" s="156"/>
      <c r="G56" s="113"/>
      <c r="H56" s="160"/>
      <c r="I56" s="179"/>
      <c r="J56" s="177"/>
      <c r="K56" s="238"/>
    </row>
    <row r="57" spans="1:11" ht="12.75">
      <c r="A57" s="197"/>
      <c r="B57" s="233"/>
      <c r="C57" s="161" t="s">
        <v>139</v>
      </c>
      <c r="D57" s="148"/>
      <c r="E57" s="153" t="s">
        <v>158</v>
      </c>
      <c r="F57" s="226" t="s">
        <v>162</v>
      </c>
      <c r="G57" s="113"/>
      <c r="H57" s="160"/>
      <c r="I57" s="179"/>
      <c r="J57" s="177">
        <f>SUM(J54:J55)</f>
        <v>39547.6</v>
      </c>
      <c r="K57" s="238"/>
    </row>
    <row r="58" spans="1:11" ht="12.75">
      <c r="A58" s="197"/>
      <c r="B58" s="233"/>
      <c r="C58" s="255">
        <f>(15%*C55)+(9%*C55)+3.65+2</f>
        <v>7.81</v>
      </c>
      <c r="D58" s="12" t="s">
        <v>51</v>
      </c>
      <c r="E58" s="153" t="s">
        <v>165</v>
      </c>
      <c r="F58" s="226" t="s">
        <v>151</v>
      </c>
      <c r="G58" s="227"/>
      <c r="H58" s="160">
        <f>(C58/100)</f>
        <v>0.0781</v>
      </c>
      <c r="I58" s="179"/>
      <c r="J58" s="177">
        <f>(+J60*H58)</f>
        <v>3350.29</v>
      </c>
      <c r="K58" s="173">
        <f>J58/J$60</f>
        <v>0.0781</v>
      </c>
    </row>
    <row r="59" spans="1:11" ht="12.75">
      <c r="A59" s="197"/>
      <c r="B59" s="233"/>
      <c r="C59" s="161" t="s">
        <v>139</v>
      </c>
      <c r="D59" s="148"/>
      <c r="E59" s="148"/>
      <c r="F59" s="156"/>
      <c r="G59" s="113"/>
      <c r="H59" s="179"/>
      <c r="I59" s="179"/>
      <c r="J59" s="177"/>
      <c r="K59" s="238"/>
    </row>
    <row r="60" spans="1:11" ht="13.5" thickBot="1">
      <c r="A60" s="197"/>
      <c r="B60" s="233"/>
      <c r="C60" s="161" t="s">
        <v>139</v>
      </c>
      <c r="D60" s="148"/>
      <c r="E60" s="264" t="s">
        <v>161</v>
      </c>
      <c r="F60" s="265" t="s">
        <v>426</v>
      </c>
      <c r="G60" s="266"/>
      <c r="H60" s="106"/>
      <c r="I60" s="106"/>
      <c r="J60" s="383">
        <f>J57/(1-H58)-0.504999999999999</f>
        <v>42897.42</v>
      </c>
      <c r="K60" s="268">
        <f>J60/J$60</f>
        <v>1</v>
      </c>
    </row>
    <row r="61" spans="1:11" ht="27" customHeight="1" thickBot="1">
      <c r="A61" s="384" t="s">
        <v>434</v>
      </c>
      <c r="B61" s="385" t="s">
        <v>436</v>
      </c>
      <c r="C61" s="326"/>
      <c r="D61" s="326"/>
      <c r="E61" s="310"/>
      <c r="F61" s="386"/>
      <c r="G61" s="340"/>
      <c r="H61" s="340"/>
      <c r="I61" s="340"/>
      <c r="J61" s="387">
        <f>TRUNC(J60*4,2)</f>
        <v>171589.68</v>
      </c>
      <c r="K61" s="328"/>
    </row>
    <row r="62" spans="1:11" ht="27" customHeight="1" thickBot="1">
      <c r="A62" s="384" t="s">
        <v>302</v>
      </c>
      <c r="B62" s="385" t="s">
        <v>475</v>
      </c>
      <c r="C62" s="326"/>
      <c r="D62" s="326"/>
      <c r="E62" s="310"/>
      <c r="F62" s="386"/>
      <c r="G62" s="340"/>
      <c r="H62" s="340"/>
      <c r="I62" s="759">
        <v>2860</v>
      </c>
      <c r="J62" s="798">
        <f>J61/I62</f>
        <v>59.996</v>
      </c>
      <c r="K62" s="703"/>
    </row>
    <row r="64" ht="15.75">
      <c r="A64" s="69" t="s">
        <v>169</v>
      </c>
    </row>
    <row r="66" spans="1:9" ht="15.75">
      <c r="A66" s="69" t="str">
        <f>'Trator de Esteira'!A61</f>
        <v>Patos de Minas-MG, 16 de Novembro de 2015.</v>
      </c>
      <c r="G66" s="13"/>
      <c r="H66" s="11"/>
      <c r="I66" s="11"/>
    </row>
    <row r="67" spans="7:9" ht="15">
      <c r="G67" s="11"/>
      <c r="H67" s="11"/>
      <c r="I67" s="11"/>
    </row>
    <row r="73" spans="1:10" ht="12">
      <c r="A73" s="275"/>
      <c r="B73" s="275"/>
      <c r="C73" s="275"/>
      <c r="D73" s="275"/>
      <c r="E73" s="275"/>
      <c r="F73" s="275"/>
      <c r="G73" s="275"/>
      <c r="H73" s="275"/>
      <c r="I73" s="275"/>
      <c r="J73" s="275"/>
    </row>
    <row r="80" ht="12">
      <c r="J80" s="388"/>
    </row>
    <row r="97" ht="2.25" customHeight="1"/>
    <row r="98" ht="12.75" customHeight="1"/>
    <row r="99" ht="0.75" customHeight="1"/>
    <row r="124" ht="12.75">
      <c r="L124" s="276"/>
    </row>
    <row r="125" ht="12.75">
      <c r="L125" s="276"/>
    </row>
    <row r="126" ht="12.75">
      <c r="L126" s="276"/>
    </row>
    <row r="127" ht="12.75">
      <c r="L127" s="276"/>
    </row>
    <row r="128" ht="12.75">
      <c r="L128" s="2"/>
    </row>
    <row r="129" spans="1:11" ht="12.75">
      <c r="A129" s="276"/>
      <c r="B129" s="276"/>
      <c r="C129" s="276"/>
      <c r="D129" s="276"/>
      <c r="E129" s="280"/>
      <c r="F129" s="280"/>
      <c r="G129" s="280"/>
      <c r="H129" s="280"/>
      <c r="I129" s="280"/>
      <c r="J129" s="280"/>
      <c r="K129" s="280"/>
    </row>
    <row r="130" spans="1:12" ht="12.75">
      <c r="A130" s="276"/>
      <c r="B130" s="276"/>
      <c r="C130" s="276"/>
      <c r="D130" s="276"/>
      <c r="E130" s="276"/>
      <c r="F130" s="276"/>
      <c r="G130" s="276"/>
      <c r="H130" s="276"/>
      <c r="I130" s="276"/>
      <c r="J130" s="281"/>
      <c r="K130" s="281"/>
      <c r="L130" s="178"/>
    </row>
    <row r="131" spans="1:11" ht="12.7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</row>
    <row r="132" spans="1:11" ht="12.7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</row>
    <row r="133" spans="1:11" ht="12.7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</row>
    <row r="134" spans="1:11" ht="12.75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</row>
    <row r="135" spans="1:12" ht="12.75">
      <c r="A135" s="2"/>
      <c r="B135" s="2"/>
      <c r="C135" s="2"/>
      <c r="D135" s="2"/>
      <c r="E135" s="28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83"/>
      <c r="F136" s="283"/>
      <c r="G136" s="283"/>
      <c r="H136" s="283"/>
      <c r="I136" s="2"/>
      <c r="J136" s="2"/>
      <c r="K136" s="2"/>
      <c r="L136" s="4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83"/>
      <c r="B138" s="283"/>
      <c r="C138" s="283"/>
      <c r="D138" s="283"/>
      <c r="E138" s="283"/>
      <c r="F138" s="283"/>
      <c r="G138" s="283"/>
      <c r="H138" s="283"/>
      <c r="I138" s="283"/>
      <c r="J138" s="283"/>
      <c r="K138" s="283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5"/>
      <c r="C141" s="2"/>
      <c r="D141" s="279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4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1:12" ht="12.75">
      <c r="A144" s="2"/>
      <c r="B144" s="5"/>
      <c r="C144" s="2"/>
      <c r="D144" s="279"/>
      <c r="E144" s="2"/>
      <c r="F144" s="2"/>
      <c r="G144" s="2"/>
      <c r="H144" s="2"/>
      <c r="I144" s="2"/>
      <c r="J144" s="2"/>
      <c r="K144" s="2"/>
      <c r="L144" s="4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"/>
    </row>
    <row r="146" spans="1:12" ht="1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">
      <c r="A147" s="4"/>
      <c r="B147" s="6"/>
      <c r="C147" s="4"/>
      <c r="D147" s="284"/>
      <c r="E147" s="4"/>
      <c r="F147" s="4"/>
      <c r="G147" s="4"/>
      <c r="H147" s="4"/>
      <c r="I147" s="4"/>
      <c r="J147" s="4"/>
      <c r="K147" s="4"/>
      <c r="L147" s="4"/>
    </row>
    <row r="148" spans="1:12" ht="1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4"/>
    </row>
    <row r="151" spans="1:12" ht="12">
      <c r="A151" s="4"/>
      <c r="B151" s="4"/>
      <c r="C151" s="6"/>
      <c r="D151" s="4"/>
      <c r="E151" s="4"/>
      <c r="F151" s="4"/>
      <c r="G151" s="285"/>
      <c r="H151" s="285"/>
      <c r="L151" s="4"/>
    </row>
    <row r="152" spans="1:12" ht="12">
      <c r="A152" s="7"/>
      <c r="B152" s="7"/>
      <c r="C152" s="7"/>
      <c r="D152" s="7"/>
      <c r="E152" s="7"/>
      <c r="F152" s="7"/>
      <c r="G152" s="7"/>
      <c r="H152" s="7"/>
      <c r="L152" s="4"/>
    </row>
    <row r="153" spans="1:12" ht="12">
      <c r="A153" s="4"/>
      <c r="B153" s="4"/>
      <c r="C153" s="4"/>
      <c r="D153" s="4"/>
      <c r="E153" s="4"/>
      <c r="F153" s="4"/>
      <c r="G153" s="4"/>
      <c r="H153" s="4"/>
      <c r="L153" s="4"/>
    </row>
    <row r="154" spans="1:12" ht="12">
      <c r="A154" s="4"/>
      <c r="B154" s="4"/>
      <c r="C154" s="4"/>
      <c r="D154" s="4"/>
      <c r="E154" s="4"/>
      <c r="F154" s="4"/>
      <c r="G154" s="4"/>
      <c r="H154" s="4"/>
      <c r="L154" s="4"/>
    </row>
    <row r="155" spans="2:12" ht="12">
      <c r="B155" s="286"/>
      <c r="C155" s="287"/>
      <c r="G155" s="288"/>
      <c r="H155" s="287"/>
      <c r="L155" s="4"/>
    </row>
    <row r="156" spans="7:12" ht="12">
      <c r="G156" s="289"/>
      <c r="L156" s="4"/>
    </row>
    <row r="157" spans="7:12" ht="12">
      <c r="G157" s="289"/>
      <c r="L157" s="4"/>
    </row>
    <row r="158" spans="2:12" ht="12">
      <c r="B158" s="286"/>
      <c r="C158" s="287"/>
      <c r="G158" s="288"/>
      <c r="H158" s="287"/>
      <c r="L158" s="4"/>
    </row>
    <row r="159" spans="7:12" ht="12">
      <c r="G159" s="29"/>
      <c r="L159" s="4"/>
    </row>
    <row r="160" spans="7:12" ht="12">
      <c r="G160" s="29"/>
      <c r="L160" s="4"/>
    </row>
    <row r="161" spans="2:12" ht="12">
      <c r="B161" s="3"/>
      <c r="C161" s="290"/>
      <c r="G161" s="288"/>
      <c r="H161" s="287"/>
      <c r="L161" s="4"/>
    </row>
    <row r="162" spans="7:12" ht="12">
      <c r="G162" s="29"/>
      <c r="L162" s="4"/>
    </row>
    <row r="163" spans="7:12" ht="12">
      <c r="G163" s="29"/>
      <c r="L163" s="4"/>
    </row>
    <row r="164" spans="2:12" ht="12">
      <c r="B164" s="3"/>
      <c r="C164" s="291"/>
      <c r="G164" s="288"/>
      <c r="H164" s="292"/>
      <c r="L164" s="4"/>
    </row>
    <row r="165" spans="10:12" ht="12">
      <c r="J165" s="4"/>
      <c r="K165" s="4"/>
      <c r="L165" s="4"/>
    </row>
    <row r="166" spans="1:12" ht="12">
      <c r="A166" s="293"/>
      <c r="B166" s="293"/>
      <c r="C166" s="293"/>
      <c r="D166" s="293"/>
      <c r="E166" s="293"/>
      <c r="F166" s="293"/>
      <c r="G166" s="293"/>
      <c r="H166" s="293"/>
      <c r="I166" s="293"/>
      <c r="J166" s="7"/>
      <c r="K166" s="7"/>
      <c r="L166" s="4"/>
    </row>
    <row r="167" spans="10:12" ht="12">
      <c r="J167" s="4"/>
      <c r="K167" s="4"/>
      <c r="L167" s="4"/>
    </row>
    <row r="168" spans="2:12" ht="12">
      <c r="B168" s="286"/>
      <c r="D168" s="292"/>
      <c r="J168" s="4"/>
      <c r="K168" s="4"/>
      <c r="L168" s="4"/>
    </row>
    <row r="169" spans="10:12" ht="12">
      <c r="J169" s="4"/>
      <c r="K169" s="4"/>
      <c r="L169" s="4"/>
    </row>
    <row r="170" spans="1:12" ht="12">
      <c r="A170" s="293"/>
      <c r="B170" s="293"/>
      <c r="C170" s="293"/>
      <c r="D170" s="293"/>
      <c r="E170" s="293"/>
      <c r="F170" s="293"/>
      <c r="G170" s="293"/>
      <c r="H170" s="293"/>
      <c r="I170" s="293"/>
      <c r="J170" s="7"/>
      <c r="K170" s="7"/>
      <c r="L170" s="4"/>
    </row>
    <row r="171" spans="1:12" ht="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sheetProtection/>
  <mergeCells count="3">
    <mergeCell ref="A5:J5"/>
    <mergeCell ref="F45:G45"/>
    <mergeCell ref="A1:K1"/>
  </mergeCells>
  <printOptions horizontalCentered="1" verticalCentered="1"/>
  <pageMargins left="0.7874015748031497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6"/>
  <sheetViews>
    <sheetView zoomScalePageLayoutView="0" workbookViewId="0" topLeftCell="A55">
      <selection activeCell="C58" sqref="C58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7.75390625" style="1" customWidth="1"/>
    <col min="12" max="12" width="0.875" style="1" customWidth="1"/>
    <col min="13" max="16384" width="11.00390625" style="1" customWidth="1"/>
  </cols>
  <sheetData>
    <row r="1" spans="1:12" ht="22.5" customHeight="1" thickBot="1">
      <c r="A1" s="830" t="s">
        <v>273</v>
      </c>
      <c r="B1" s="831"/>
      <c r="C1" s="831"/>
      <c r="D1" s="831"/>
      <c r="E1" s="831"/>
      <c r="F1" s="831"/>
      <c r="G1" s="831"/>
      <c r="H1" s="831"/>
      <c r="I1" s="831"/>
      <c r="J1" s="831"/>
      <c r="K1" s="832"/>
      <c r="L1" s="354"/>
    </row>
    <row r="2" spans="1:12" ht="20.25">
      <c r="A2" s="369"/>
      <c r="B2" s="91"/>
      <c r="C2" s="370"/>
      <c r="D2" s="91"/>
      <c r="E2" s="91"/>
      <c r="F2" s="91"/>
      <c r="G2" s="92"/>
      <c r="H2" s="91"/>
      <c r="I2" s="91"/>
      <c r="J2" s="91"/>
      <c r="K2" s="371"/>
      <c r="L2" s="354"/>
    </row>
    <row r="3" spans="1:12" ht="20.25">
      <c r="A3" s="369" t="s">
        <v>274</v>
      </c>
      <c r="B3" s="91"/>
      <c r="C3" s="370"/>
      <c r="D3" s="91"/>
      <c r="E3" s="91"/>
      <c r="F3" s="91"/>
      <c r="G3" s="92"/>
      <c r="H3" s="91"/>
      <c r="I3" s="91"/>
      <c r="J3" s="91"/>
      <c r="K3" s="372" t="s">
        <v>51</v>
      </c>
      <c r="L3" s="354"/>
    </row>
    <row r="4" spans="1:12" ht="12">
      <c r="A4" s="212"/>
      <c r="B4" s="102"/>
      <c r="C4" s="102"/>
      <c r="D4" s="102"/>
      <c r="E4" s="102"/>
      <c r="F4" s="102"/>
      <c r="G4" s="102"/>
      <c r="H4" s="102"/>
      <c r="I4" s="102"/>
      <c r="J4" s="102"/>
      <c r="K4" s="373"/>
      <c r="L4" s="354"/>
    </row>
    <row r="5" spans="1:12" ht="20.25">
      <c r="A5" s="833" t="s">
        <v>275</v>
      </c>
      <c r="B5" s="824"/>
      <c r="C5" s="824"/>
      <c r="D5" s="824"/>
      <c r="E5" s="824"/>
      <c r="F5" s="824"/>
      <c r="G5" s="824"/>
      <c r="H5" s="824"/>
      <c r="I5" s="824"/>
      <c r="J5" s="824"/>
      <c r="K5" s="374"/>
      <c r="L5" s="354"/>
    </row>
    <row r="6" spans="1:12" ht="12.75">
      <c r="A6" s="104"/>
      <c r="B6" s="105"/>
      <c r="C6" s="105"/>
      <c r="D6" s="105"/>
      <c r="E6" s="114"/>
      <c r="F6" s="105"/>
      <c r="G6" s="105"/>
      <c r="H6" s="105"/>
      <c r="I6" s="105"/>
      <c r="J6" s="106"/>
      <c r="K6" s="115"/>
      <c r="L6" s="354"/>
    </row>
    <row r="7" spans="1:12" ht="15.75">
      <c r="A7" s="109" t="s">
        <v>60</v>
      </c>
      <c r="B7" s="111" t="s">
        <v>61</v>
      </c>
      <c r="C7" s="110"/>
      <c r="D7" s="110"/>
      <c r="E7" s="110"/>
      <c r="F7" s="110"/>
      <c r="G7" s="110"/>
      <c r="H7" s="110"/>
      <c r="I7" s="120"/>
      <c r="J7" s="113"/>
      <c r="K7" s="117"/>
      <c r="L7" s="354"/>
    </row>
    <row r="8" spans="1:17" ht="12.75">
      <c r="A8" s="109"/>
      <c r="B8" s="130"/>
      <c r="C8" s="131"/>
      <c r="D8" s="110"/>
      <c r="E8" s="130"/>
      <c r="F8" s="130"/>
      <c r="G8" s="113"/>
      <c r="H8" s="113"/>
      <c r="I8" s="113"/>
      <c r="J8" s="113"/>
      <c r="K8" s="117"/>
      <c r="L8" s="354"/>
      <c r="Q8" s="1">
        <f>180.55*20</f>
        <v>3611</v>
      </c>
    </row>
    <row r="9" spans="1:17" ht="12.75">
      <c r="A9" s="121" t="s">
        <v>65</v>
      </c>
      <c r="B9" s="137">
        <v>0.333333333333333</v>
      </c>
      <c r="C9" s="123" t="s">
        <v>58</v>
      </c>
      <c r="D9" s="137">
        <v>0.75</v>
      </c>
      <c r="E9" s="124" t="s">
        <v>59</v>
      </c>
      <c r="F9" s="125"/>
      <c r="G9" s="126"/>
      <c r="H9" s="126"/>
      <c r="I9" s="126"/>
      <c r="J9" s="126"/>
      <c r="K9" s="117"/>
      <c r="L9" s="354"/>
      <c r="Q9" s="1">
        <f>1120.82*4</f>
        <v>4483.28</v>
      </c>
    </row>
    <row r="10" spans="1:12" ht="12.75">
      <c r="A10" s="14"/>
      <c r="B10" s="15"/>
      <c r="C10" s="15"/>
      <c r="D10" s="15"/>
      <c r="E10" s="15"/>
      <c r="F10" s="15"/>
      <c r="G10" s="15"/>
      <c r="H10" s="15"/>
      <c r="I10" s="135" t="s">
        <v>64</v>
      </c>
      <c r="J10" s="139"/>
      <c r="K10" s="140"/>
      <c r="L10" s="354"/>
    </row>
    <row r="11" spans="1:17" ht="12.75">
      <c r="A11" s="16" t="s">
        <v>75</v>
      </c>
      <c r="B11" s="12" t="s">
        <v>67</v>
      </c>
      <c r="C11" s="12" t="s">
        <v>76</v>
      </c>
      <c r="D11" s="12" t="s">
        <v>67</v>
      </c>
      <c r="E11" s="12" t="s">
        <v>66</v>
      </c>
      <c r="F11" s="12" t="s">
        <v>69</v>
      </c>
      <c r="G11" s="12" t="s">
        <v>70</v>
      </c>
      <c r="H11" s="12" t="s">
        <v>71</v>
      </c>
      <c r="I11" s="12" t="s">
        <v>72</v>
      </c>
      <c r="J11" s="138" t="s">
        <v>73</v>
      </c>
      <c r="K11" s="147"/>
      <c r="L11" s="354"/>
      <c r="Q11" s="1">
        <f>SUM(Q8:Q10)</f>
        <v>8094.28</v>
      </c>
    </row>
    <row r="12" spans="1:12" ht="12.75">
      <c r="A12" s="149"/>
      <c r="B12" s="150"/>
      <c r="C12" s="150"/>
      <c r="D12" s="150"/>
      <c r="E12" s="150"/>
      <c r="F12" s="150"/>
      <c r="G12" s="150"/>
      <c r="H12" s="150"/>
      <c r="I12" s="144" t="s">
        <v>74</v>
      </c>
      <c r="J12" s="151"/>
      <c r="K12" s="140"/>
      <c r="L12" s="354"/>
    </row>
    <row r="13" spans="1:12" ht="12.75">
      <c r="A13" s="152"/>
      <c r="B13" s="148"/>
      <c r="C13" s="148"/>
      <c r="D13" s="148"/>
      <c r="E13" s="148"/>
      <c r="F13" s="148"/>
      <c r="G13" s="148"/>
      <c r="H13" s="148"/>
      <c r="I13" s="148"/>
      <c r="J13" s="156"/>
      <c r="K13" s="117"/>
      <c r="L13" s="354"/>
    </row>
    <row r="14" spans="1:12" ht="12.75">
      <c r="A14" s="152"/>
      <c r="B14" s="148"/>
      <c r="C14" s="148"/>
      <c r="D14" s="148"/>
      <c r="E14" s="148"/>
      <c r="F14" s="153" t="s">
        <v>79</v>
      </c>
      <c r="G14" s="12" t="s">
        <v>80</v>
      </c>
      <c r="H14" s="148"/>
      <c r="I14" s="148"/>
      <c r="J14" s="156"/>
      <c r="K14" s="117"/>
      <c r="L14" s="354"/>
    </row>
    <row r="15" spans="1:12" ht="12.75">
      <c r="A15" s="185"/>
      <c r="B15" s="148"/>
      <c r="C15" s="161"/>
      <c r="D15" s="148"/>
      <c r="E15" s="148"/>
      <c r="F15" s="148"/>
      <c r="G15" s="148"/>
      <c r="H15" s="195"/>
      <c r="I15" s="161"/>
      <c r="J15" s="177"/>
      <c r="K15" s="192"/>
      <c r="L15" s="354"/>
    </row>
    <row r="16" spans="1:12" ht="12.75">
      <c r="A16" s="185"/>
      <c r="B16" s="148"/>
      <c r="C16" s="161"/>
      <c r="D16" s="148"/>
      <c r="E16" s="175">
        <v>1</v>
      </c>
      <c r="F16" s="170" t="s">
        <v>89</v>
      </c>
      <c r="G16" s="170" t="s">
        <v>276</v>
      </c>
      <c r="H16" s="199">
        <f>E16</f>
        <v>1</v>
      </c>
      <c r="I16" s="200">
        <v>1186</v>
      </c>
      <c r="J16" s="172">
        <f>(H16*I16)</f>
        <v>1186</v>
      </c>
      <c r="K16" s="173">
        <f aca="true" t="shared" si="0" ref="K16:K41">J16/J$67</f>
        <v>0.0188</v>
      </c>
      <c r="L16" s="354"/>
    </row>
    <row r="17" spans="1:12" ht="12.75">
      <c r="A17" s="185"/>
      <c r="B17" s="148"/>
      <c r="C17" s="161"/>
      <c r="D17" s="148"/>
      <c r="E17" s="175">
        <v>1</v>
      </c>
      <c r="F17" s="153" t="s">
        <v>100</v>
      </c>
      <c r="G17" s="170" t="s">
        <v>277</v>
      </c>
      <c r="H17" s="199">
        <f>E17</f>
        <v>1</v>
      </c>
      <c r="I17" s="200">
        <v>1186</v>
      </c>
      <c r="J17" s="172">
        <f>(H17*I17)</f>
        <v>1186</v>
      </c>
      <c r="K17" s="173">
        <f t="shared" si="0"/>
        <v>0.0188</v>
      </c>
      <c r="L17" s="354"/>
    </row>
    <row r="18" spans="1:12" ht="12.75">
      <c r="A18" s="176">
        <v>40</v>
      </c>
      <c r="B18" s="12" t="s">
        <v>193</v>
      </c>
      <c r="C18" s="159">
        <v>220</v>
      </c>
      <c r="D18" s="12" t="s">
        <v>194</v>
      </c>
      <c r="E18" s="175">
        <f>E17</f>
        <v>1</v>
      </c>
      <c r="F18" s="170" t="s">
        <v>109</v>
      </c>
      <c r="G18" s="170" t="s">
        <v>278</v>
      </c>
      <c r="H18" s="199">
        <f>A18/100</f>
        <v>0.4</v>
      </c>
      <c r="I18" s="169">
        <v>788</v>
      </c>
      <c r="J18" s="172">
        <f>(I18*H18)*E18</f>
        <v>315.2</v>
      </c>
      <c r="K18" s="173">
        <f t="shared" si="0"/>
        <v>0.005</v>
      </c>
      <c r="L18" s="354"/>
    </row>
    <row r="19" spans="1:12" ht="12.75">
      <c r="A19" s="176"/>
      <c r="B19" s="12"/>
      <c r="C19" s="159"/>
      <c r="D19" s="12"/>
      <c r="E19" s="175">
        <v>1</v>
      </c>
      <c r="F19" s="153" t="s">
        <v>113</v>
      </c>
      <c r="G19" s="170" t="s">
        <v>231</v>
      </c>
      <c r="H19" s="199">
        <f>E19</f>
        <v>1</v>
      </c>
      <c r="I19" s="200">
        <v>1186</v>
      </c>
      <c r="J19" s="172">
        <f>(H19*I19)</f>
        <v>1186</v>
      </c>
      <c r="K19" s="173">
        <f t="shared" si="0"/>
        <v>0.0188</v>
      </c>
      <c r="L19" s="354"/>
    </row>
    <row r="20" spans="1:12" ht="12.75">
      <c r="A20" s="176">
        <v>40</v>
      </c>
      <c r="B20" s="12" t="s">
        <v>193</v>
      </c>
      <c r="C20" s="159">
        <v>220</v>
      </c>
      <c r="D20" s="12" t="s">
        <v>194</v>
      </c>
      <c r="E20" s="175">
        <f>E19</f>
        <v>1</v>
      </c>
      <c r="F20" s="170" t="s">
        <v>116</v>
      </c>
      <c r="G20" s="170" t="s">
        <v>278</v>
      </c>
      <c r="H20" s="199">
        <f>A20/100</f>
        <v>0.4</v>
      </c>
      <c r="I20" s="169">
        <v>788</v>
      </c>
      <c r="J20" s="172">
        <f>(I20*H20)*E20</f>
        <v>315.2</v>
      </c>
      <c r="K20" s="173">
        <f t="shared" si="0"/>
        <v>0.005</v>
      </c>
      <c r="L20" s="354"/>
    </row>
    <row r="21" spans="1:12" ht="12.75">
      <c r="A21" s="176"/>
      <c r="B21" s="12"/>
      <c r="C21" s="159"/>
      <c r="D21" s="12"/>
      <c r="E21" s="175">
        <v>1</v>
      </c>
      <c r="F21" s="153" t="s">
        <v>120</v>
      </c>
      <c r="G21" s="170" t="s">
        <v>279</v>
      </c>
      <c r="H21" s="199">
        <f>E21</f>
        <v>1</v>
      </c>
      <c r="I21" s="200">
        <v>1326</v>
      </c>
      <c r="J21" s="172">
        <f>(H21*I21)</f>
        <v>1326</v>
      </c>
      <c r="K21" s="173">
        <f t="shared" si="0"/>
        <v>0.021</v>
      </c>
      <c r="L21" s="354"/>
    </row>
    <row r="22" spans="1:12" ht="12.75">
      <c r="A22" s="176">
        <v>40</v>
      </c>
      <c r="B22" s="12" t="s">
        <v>193</v>
      </c>
      <c r="C22" s="159">
        <v>220</v>
      </c>
      <c r="D22" s="12" t="s">
        <v>194</v>
      </c>
      <c r="E22" s="175">
        <f>E20</f>
        <v>1</v>
      </c>
      <c r="F22" s="170" t="s">
        <v>125</v>
      </c>
      <c r="G22" s="170" t="s">
        <v>278</v>
      </c>
      <c r="H22" s="199">
        <f>A22/100</f>
        <v>0.4</v>
      </c>
      <c r="I22" s="169">
        <v>788</v>
      </c>
      <c r="J22" s="172">
        <f>(I22*H22)*E22</f>
        <v>315.2</v>
      </c>
      <c r="K22" s="173">
        <f t="shared" si="0"/>
        <v>0.005</v>
      </c>
      <c r="L22" s="354"/>
    </row>
    <row r="23" spans="1:12" ht="12.75">
      <c r="A23" s="176"/>
      <c r="B23" s="12"/>
      <c r="C23" s="159"/>
      <c r="D23" s="12"/>
      <c r="E23" s="175">
        <v>1</v>
      </c>
      <c r="F23" s="153" t="s">
        <v>132</v>
      </c>
      <c r="G23" s="170" t="s">
        <v>280</v>
      </c>
      <c r="H23" s="199">
        <f>E23</f>
        <v>1</v>
      </c>
      <c r="I23" s="200">
        <v>1326</v>
      </c>
      <c r="J23" s="172">
        <f>(H23*I23)</f>
        <v>1326</v>
      </c>
      <c r="K23" s="173">
        <f t="shared" si="0"/>
        <v>0.021</v>
      </c>
      <c r="L23" s="354"/>
    </row>
    <row r="24" spans="1:12" ht="12.75">
      <c r="A24" s="176">
        <v>40</v>
      </c>
      <c r="B24" s="12" t="s">
        <v>193</v>
      </c>
      <c r="C24" s="159">
        <v>220</v>
      </c>
      <c r="D24" s="12" t="s">
        <v>194</v>
      </c>
      <c r="E24" s="175">
        <f>E22</f>
        <v>1</v>
      </c>
      <c r="F24" s="153" t="s">
        <v>203</v>
      </c>
      <c r="G24" s="170" t="s">
        <v>278</v>
      </c>
      <c r="H24" s="199">
        <f>A24/100</f>
        <v>0.4</v>
      </c>
      <c r="I24" s="169">
        <v>788</v>
      </c>
      <c r="J24" s="172">
        <f>(I24*H24)*E24</f>
        <v>315.2</v>
      </c>
      <c r="K24" s="173">
        <f t="shared" si="0"/>
        <v>0.005</v>
      </c>
      <c r="L24" s="354"/>
    </row>
    <row r="25" spans="1:12" ht="12.75">
      <c r="A25" s="174"/>
      <c r="B25" s="12"/>
      <c r="C25" s="159"/>
      <c r="D25" s="153"/>
      <c r="E25" s="175">
        <v>1</v>
      </c>
      <c r="F25" s="153" t="s">
        <v>206</v>
      </c>
      <c r="G25" s="170" t="s">
        <v>281</v>
      </c>
      <c r="H25" s="199">
        <f>E25</f>
        <v>1</v>
      </c>
      <c r="I25" s="350">
        <v>8000</v>
      </c>
      <c r="J25" s="172">
        <f>(H25*I25)</f>
        <v>8000</v>
      </c>
      <c r="K25" s="173">
        <f t="shared" si="0"/>
        <v>0.1268</v>
      </c>
      <c r="L25" s="354"/>
    </row>
    <row r="26" spans="1:12" ht="12.75">
      <c r="A26" s="174"/>
      <c r="B26" s="12"/>
      <c r="C26" s="159"/>
      <c r="D26" s="153"/>
      <c r="E26" s="175">
        <v>4</v>
      </c>
      <c r="F26" s="153" t="s">
        <v>208</v>
      </c>
      <c r="G26" s="170" t="s">
        <v>282</v>
      </c>
      <c r="H26" s="199">
        <f>E26</f>
        <v>4</v>
      </c>
      <c r="I26" s="200">
        <v>801.4</v>
      </c>
      <c r="J26" s="172">
        <f>(H26*I26)</f>
        <v>3205.6</v>
      </c>
      <c r="K26" s="173">
        <f t="shared" si="0"/>
        <v>0.0508</v>
      </c>
      <c r="L26" s="354"/>
    </row>
    <row r="27" spans="1:12" ht="12.75">
      <c r="A27" s="176">
        <v>20</v>
      </c>
      <c r="B27" s="12" t="s">
        <v>193</v>
      </c>
      <c r="C27" s="159">
        <v>220</v>
      </c>
      <c r="D27" s="12" t="s">
        <v>194</v>
      </c>
      <c r="E27" s="175">
        <f>E26</f>
        <v>4</v>
      </c>
      <c r="F27" s="153" t="s">
        <v>210</v>
      </c>
      <c r="G27" s="170" t="s">
        <v>278</v>
      </c>
      <c r="H27" s="199">
        <f>A27/100</f>
        <v>0.2</v>
      </c>
      <c r="I27" s="169">
        <v>788</v>
      </c>
      <c r="J27" s="172">
        <f>(I27*H27)*E27</f>
        <v>630.4</v>
      </c>
      <c r="K27" s="173">
        <f t="shared" si="0"/>
        <v>0.01</v>
      </c>
      <c r="L27" s="354"/>
    </row>
    <row r="28" spans="1:12" ht="12.75">
      <c r="A28" s="174"/>
      <c r="B28" s="12"/>
      <c r="C28" s="159"/>
      <c r="D28" s="153"/>
      <c r="E28" s="175">
        <v>1</v>
      </c>
      <c r="F28" s="153" t="s">
        <v>212</v>
      </c>
      <c r="G28" s="170" t="s">
        <v>283</v>
      </c>
      <c r="H28" s="199">
        <f>E28</f>
        <v>1</v>
      </c>
      <c r="I28" s="200">
        <v>801.4</v>
      </c>
      <c r="J28" s="172">
        <f>(H28*I28)</f>
        <v>801.4</v>
      </c>
      <c r="K28" s="173">
        <f t="shared" si="0"/>
        <v>0.0127</v>
      </c>
      <c r="L28" s="354"/>
    </row>
    <row r="29" spans="1:12" ht="12.75">
      <c r="A29" s="176">
        <v>20</v>
      </c>
      <c r="B29" s="12" t="s">
        <v>193</v>
      </c>
      <c r="C29" s="159">
        <v>220</v>
      </c>
      <c r="D29" s="12" t="s">
        <v>194</v>
      </c>
      <c r="E29" s="175">
        <f>E28</f>
        <v>1</v>
      </c>
      <c r="F29" s="153" t="s">
        <v>214</v>
      </c>
      <c r="G29" s="170" t="s">
        <v>278</v>
      </c>
      <c r="H29" s="199">
        <f>A29/100</f>
        <v>0.2</v>
      </c>
      <c r="I29" s="169">
        <v>788</v>
      </c>
      <c r="J29" s="172">
        <f>(I29*H29)*E29</f>
        <v>157.6</v>
      </c>
      <c r="K29" s="173">
        <f t="shared" si="0"/>
        <v>0.0025</v>
      </c>
      <c r="L29" s="354"/>
    </row>
    <row r="30" spans="1:12" ht="12.75">
      <c r="A30" s="174"/>
      <c r="B30" s="12"/>
      <c r="C30" s="159"/>
      <c r="D30" s="153"/>
      <c r="E30" s="175">
        <v>1</v>
      </c>
      <c r="F30" s="153" t="s">
        <v>216</v>
      </c>
      <c r="G30" s="170" t="s">
        <v>412</v>
      </c>
      <c r="H30" s="199">
        <f>E30</f>
        <v>1</v>
      </c>
      <c r="I30" s="200">
        <v>1342</v>
      </c>
      <c r="J30" s="172">
        <f>(H30*I30)</f>
        <v>1342</v>
      </c>
      <c r="K30" s="173">
        <f t="shared" si="0"/>
        <v>0.0213</v>
      </c>
      <c r="L30" s="354"/>
    </row>
    <row r="31" spans="1:12" ht="12.75">
      <c r="A31" s="176">
        <v>40</v>
      </c>
      <c r="B31" s="12" t="s">
        <v>193</v>
      </c>
      <c r="C31" s="159">
        <v>220</v>
      </c>
      <c r="D31" s="12" t="s">
        <v>194</v>
      </c>
      <c r="E31" s="175">
        <v>1</v>
      </c>
      <c r="F31" s="153" t="s">
        <v>284</v>
      </c>
      <c r="G31" s="170" t="s">
        <v>278</v>
      </c>
      <c r="H31" s="199">
        <f>A31/100</f>
        <v>0.4</v>
      </c>
      <c r="I31" s="169">
        <v>788</v>
      </c>
      <c r="J31" s="172">
        <f>(I31*H31)*E31</f>
        <v>315.2</v>
      </c>
      <c r="K31" s="173">
        <f t="shared" si="0"/>
        <v>0.005</v>
      </c>
      <c r="L31" s="354"/>
    </row>
    <row r="32" spans="1:12" ht="12.75">
      <c r="A32" s="174"/>
      <c r="B32" s="12"/>
      <c r="C32" s="159"/>
      <c r="D32" s="153"/>
      <c r="E32" s="175">
        <v>1</v>
      </c>
      <c r="F32" s="153" t="s">
        <v>285</v>
      </c>
      <c r="G32" s="170" t="s">
        <v>286</v>
      </c>
      <c r="H32" s="199">
        <f>E32</f>
        <v>1</v>
      </c>
      <c r="I32" s="200">
        <v>801.4</v>
      </c>
      <c r="J32" s="172">
        <f>(H32*I32)</f>
        <v>801.4</v>
      </c>
      <c r="K32" s="173">
        <f t="shared" si="0"/>
        <v>0.0127</v>
      </c>
      <c r="L32" s="354"/>
    </row>
    <row r="33" spans="1:12" ht="12.75">
      <c r="A33" s="176">
        <v>40</v>
      </c>
      <c r="B33" s="12" t="s">
        <v>193</v>
      </c>
      <c r="C33" s="159">
        <v>220</v>
      </c>
      <c r="D33" s="12" t="s">
        <v>194</v>
      </c>
      <c r="E33" s="175">
        <f>E28</f>
        <v>1</v>
      </c>
      <c r="F33" s="153" t="s">
        <v>287</v>
      </c>
      <c r="G33" s="170" t="s">
        <v>278</v>
      </c>
      <c r="H33" s="199">
        <f>A33/100</f>
        <v>0.4</v>
      </c>
      <c r="I33" s="169">
        <v>788</v>
      </c>
      <c r="J33" s="172">
        <f>(I33*H33)*E33</f>
        <v>315.2</v>
      </c>
      <c r="K33" s="173">
        <f t="shared" si="0"/>
        <v>0.005</v>
      </c>
      <c r="L33" s="354"/>
    </row>
    <row r="34" spans="1:12" ht="12.75">
      <c r="A34" s="176"/>
      <c r="B34" s="12"/>
      <c r="C34" s="159"/>
      <c r="D34" s="12"/>
      <c r="E34" s="175">
        <v>1</v>
      </c>
      <c r="F34" s="153" t="s">
        <v>288</v>
      </c>
      <c r="G34" s="170" t="s">
        <v>196</v>
      </c>
      <c r="H34" s="199">
        <f>E34</f>
        <v>1</v>
      </c>
      <c r="I34" s="200">
        <v>1500</v>
      </c>
      <c r="J34" s="172">
        <f>(H34*I34)</f>
        <v>1500</v>
      </c>
      <c r="K34" s="173">
        <f t="shared" si="0"/>
        <v>0.0238</v>
      </c>
      <c r="L34" s="354"/>
    </row>
    <row r="35" spans="1:12" ht="12.75">
      <c r="A35" s="760">
        <v>82.26</v>
      </c>
      <c r="B35" s="12" t="s">
        <v>198</v>
      </c>
      <c r="C35" s="161" t="s">
        <v>139</v>
      </c>
      <c r="D35" s="153" t="s">
        <v>84</v>
      </c>
      <c r="E35" s="12" t="s">
        <v>88</v>
      </c>
      <c r="F35" s="153" t="s">
        <v>289</v>
      </c>
      <c r="G35" s="153" t="s">
        <v>199</v>
      </c>
      <c r="H35" s="195">
        <f>A35/100</f>
        <v>0.823</v>
      </c>
      <c r="I35" s="161">
        <f>SUM(J16:J34)</f>
        <v>24539.6</v>
      </c>
      <c r="J35" s="177">
        <f>(I35*H35)</f>
        <v>20196.09</v>
      </c>
      <c r="K35" s="173">
        <f t="shared" si="0"/>
        <v>0.3201</v>
      </c>
      <c r="L35" s="354"/>
    </row>
    <row r="36" spans="1:12" ht="12.75">
      <c r="A36" s="176">
        <v>1</v>
      </c>
      <c r="B36" s="12" t="s">
        <v>200</v>
      </c>
      <c r="C36" s="161">
        <v>1</v>
      </c>
      <c r="D36" s="12" t="s">
        <v>87</v>
      </c>
      <c r="E36" s="159">
        <f>E16+E17+E19+E21+E23+E25+E26+E28+E30+E32+E34</f>
        <v>14</v>
      </c>
      <c r="F36" s="153" t="s">
        <v>290</v>
      </c>
      <c r="G36" s="153" t="s">
        <v>201</v>
      </c>
      <c r="H36" s="195">
        <f aca="true" t="shared" si="1" ref="H36:H41">E36</f>
        <v>14</v>
      </c>
      <c r="I36" s="169">
        <v>114.4</v>
      </c>
      <c r="J36" s="177">
        <f>(+I36*H36)*A36/C36</f>
        <v>1601.6</v>
      </c>
      <c r="K36" s="173">
        <f t="shared" si="0"/>
        <v>0.0254</v>
      </c>
      <c r="L36" s="354"/>
    </row>
    <row r="37" spans="1:12" ht="12.75">
      <c r="A37" s="176">
        <v>1</v>
      </c>
      <c r="B37" s="12" t="s">
        <v>202</v>
      </c>
      <c r="C37" s="161">
        <v>6</v>
      </c>
      <c r="D37" s="12" t="s">
        <v>87</v>
      </c>
      <c r="E37" s="159">
        <f>E36</f>
        <v>14</v>
      </c>
      <c r="F37" s="153" t="s">
        <v>291</v>
      </c>
      <c r="G37" s="153" t="s">
        <v>204</v>
      </c>
      <c r="H37" s="195">
        <f t="shared" si="1"/>
        <v>14</v>
      </c>
      <c r="I37" s="255">
        <v>153</v>
      </c>
      <c r="J37" s="177">
        <f>(I37*H37*A37)/C37</f>
        <v>357</v>
      </c>
      <c r="K37" s="173">
        <f t="shared" si="0"/>
        <v>0.0057</v>
      </c>
      <c r="L37" s="354"/>
    </row>
    <row r="38" spans="1:12" ht="12.75">
      <c r="A38" s="176">
        <v>1</v>
      </c>
      <c r="B38" s="12" t="s">
        <v>205</v>
      </c>
      <c r="C38" s="161">
        <v>1</v>
      </c>
      <c r="D38" s="12" t="s">
        <v>87</v>
      </c>
      <c r="E38" s="159">
        <f>E36</f>
        <v>14</v>
      </c>
      <c r="F38" s="170" t="s">
        <v>292</v>
      </c>
      <c r="G38" s="153" t="s">
        <v>207</v>
      </c>
      <c r="H38" s="195">
        <f t="shared" si="1"/>
        <v>14</v>
      </c>
      <c r="I38" s="255">
        <v>28</v>
      </c>
      <c r="J38" s="177">
        <f>(+I38*H38)*A38*C38</f>
        <v>392</v>
      </c>
      <c r="K38" s="173">
        <f t="shared" si="0"/>
        <v>0.0062</v>
      </c>
      <c r="L38" s="354"/>
    </row>
    <row r="39" spans="1:12" ht="12.75">
      <c r="A39" s="176">
        <v>1</v>
      </c>
      <c r="B39" s="12" t="s">
        <v>202</v>
      </c>
      <c r="C39" s="161">
        <v>1</v>
      </c>
      <c r="D39" s="12" t="s">
        <v>87</v>
      </c>
      <c r="E39" s="159">
        <f>E38</f>
        <v>14</v>
      </c>
      <c r="F39" s="170" t="s">
        <v>293</v>
      </c>
      <c r="G39" s="153" t="s">
        <v>209</v>
      </c>
      <c r="H39" s="195">
        <f t="shared" si="1"/>
        <v>14</v>
      </c>
      <c r="I39" s="255">
        <v>16</v>
      </c>
      <c r="J39" s="177">
        <f>(I39*H39*A39)/C39</f>
        <v>224</v>
      </c>
      <c r="K39" s="173">
        <f t="shared" si="0"/>
        <v>0.0036</v>
      </c>
      <c r="L39" s="354"/>
    </row>
    <row r="40" spans="1:12" ht="12.75">
      <c r="A40" s="176">
        <v>1</v>
      </c>
      <c r="B40" s="12" t="s">
        <v>202</v>
      </c>
      <c r="C40" s="161">
        <v>1</v>
      </c>
      <c r="D40" s="12" t="s">
        <v>87</v>
      </c>
      <c r="E40" s="159">
        <f>E36</f>
        <v>14</v>
      </c>
      <c r="F40" s="116" t="s">
        <v>294</v>
      </c>
      <c r="G40" s="153" t="s">
        <v>211</v>
      </c>
      <c r="H40" s="195">
        <f t="shared" si="1"/>
        <v>14</v>
      </c>
      <c r="I40" s="255">
        <v>120</v>
      </c>
      <c r="J40" s="177">
        <f>(I40*H40*A40)/C40</f>
        <v>1680</v>
      </c>
      <c r="K40" s="173">
        <f t="shared" si="0"/>
        <v>0.0266</v>
      </c>
      <c r="L40" s="354"/>
    </row>
    <row r="41" spans="1:12" ht="12.75">
      <c r="A41" s="378">
        <v>4</v>
      </c>
      <c r="B41" s="12" t="s">
        <v>202</v>
      </c>
      <c r="C41" s="161">
        <v>1</v>
      </c>
      <c r="D41" s="128" t="s">
        <v>87</v>
      </c>
      <c r="E41" s="159">
        <f>E17+E19+E21+E23+E30+E32</f>
        <v>6</v>
      </c>
      <c r="F41" s="116" t="s">
        <v>413</v>
      </c>
      <c r="G41" s="153" t="s">
        <v>411</v>
      </c>
      <c r="H41" s="379">
        <f t="shared" si="1"/>
        <v>6</v>
      </c>
      <c r="I41" s="255">
        <v>15</v>
      </c>
      <c r="J41" s="380">
        <f>(I41*H41*A41)/C41</f>
        <v>360</v>
      </c>
      <c r="K41" s="173">
        <f t="shared" si="0"/>
        <v>0.0057</v>
      </c>
      <c r="L41" s="354"/>
    </row>
    <row r="42" spans="1:12" ht="12.75">
      <c r="A42" s="378"/>
      <c r="B42" s="12"/>
      <c r="C42" s="161"/>
      <c r="D42" s="128"/>
      <c r="E42" s="159"/>
      <c r="F42" s="116"/>
      <c r="G42" s="153"/>
      <c r="H42" s="379"/>
      <c r="I42" s="127"/>
      <c r="J42" s="380"/>
      <c r="K42" s="173"/>
      <c r="L42" s="354"/>
    </row>
    <row r="43" spans="1:12" ht="12.75">
      <c r="A43" s="174"/>
      <c r="B43" s="148"/>
      <c r="C43" s="161"/>
      <c r="D43" s="148"/>
      <c r="E43" s="148"/>
      <c r="F43" s="170" t="s">
        <v>459</v>
      </c>
      <c r="G43" s="156" t="s">
        <v>445</v>
      </c>
      <c r="H43" s="749"/>
      <c r="I43" s="127"/>
      <c r="J43" s="380">
        <f>SUM(J16:J42)</f>
        <v>49350.29</v>
      </c>
      <c r="K43" s="173"/>
      <c r="L43" s="354"/>
    </row>
    <row r="44" spans="1:12" ht="12.75">
      <c r="A44" s="174"/>
      <c r="B44" s="148"/>
      <c r="C44" s="161"/>
      <c r="D44" s="148"/>
      <c r="E44" s="424"/>
      <c r="F44" s="170"/>
      <c r="G44" s="752"/>
      <c r="H44" s="753"/>
      <c r="I44" s="751"/>
      <c r="J44" s="750"/>
      <c r="K44" s="173"/>
      <c r="L44" s="354"/>
    </row>
    <row r="45" spans="1:12" ht="12.75">
      <c r="A45" s="760">
        <v>2.5</v>
      </c>
      <c r="B45" s="168" t="s">
        <v>198</v>
      </c>
      <c r="C45" s="161"/>
      <c r="D45" s="12"/>
      <c r="E45" s="424"/>
      <c r="F45" s="170" t="s">
        <v>470</v>
      </c>
      <c r="G45" s="226" t="s">
        <v>448</v>
      </c>
      <c r="H45" s="186">
        <f>A45/100</f>
        <v>0.025</v>
      </c>
      <c r="I45" s="246">
        <f>J43</f>
        <v>49350.29</v>
      </c>
      <c r="J45" s="172">
        <f>H45*I45</f>
        <v>1233.76</v>
      </c>
      <c r="K45" s="173">
        <f>J45/J$67</f>
        <v>0.0196</v>
      </c>
      <c r="L45" s="354"/>
    </row>
    <row r="46" spans="1:12" ht="12.75">
      <c r="A46" s="152"/>
      <c r="B46" s="148"/>
      <c r="C46" s="179"/>
      <c r="D46" s="148"/>
      <c r="E46" s="148"/>
      <c r="F46" s="148"/>
      <c r="G46" s="148"/>
      <c r="H46" s="148"/>
      <c r="I46" s="179"/>
      <c r="J46" s="187"/>
      <c r="K46" s="173"/>
      <c r="L46" s="354"/>
    </row>
    <row r="47" spans="1:12" ht="12.75">
      <c r="A47" s="141"/>
      <c r="B47" s="142"/>
      <c r="C47" s="144"/>
      <c r="D47" s="142"/>
      <c r="E47" s="142"/>
      <c r="F47" s="223" t="s">
        <v>471</v>
      </c>
      <c r="G47" s="218" t="s">
        <v>472</v>
      </c>
      <c r="H47" s="224"/>
      <c r="I47" s="224"/>
      <c r="J47" s="225">
        <f>SUM(J43:J46)</f>
        <v>50584.05</v>
      </c>
      <c r="K47" s="196">
        <f>J47/J67</f>
        <v>0.8017</v>
      </c>
      <c r="L47" s="354"/>
    </row>
    <row r="48" spans="1:12" ht="12.75">
      <c r="A48" s="197"/>
      <c r="B48" s="113"/>
      <c r="C48" s="113"/>
      <c r="D48" s="113"/>
      <c r="E48" s="113"/>
      <c r="F48" s="154"/>
      <c r="G48" s="154"/>
      <c r="H48" s="154"/>
      <c r="I48" s="154"/>
      <c r="J48" s="127"/>
      <c r="K48" s="228"/>
      <c r="L48" s="354"/>
    </row>
    <row r="49" spans="1:12" ht="20.25">
      <c r="A49" s="229" t="s">
        <v>136</v>
      </c>
      <c r="B49" s="230"/>
      <c r="C49" s="230"/>
      <c r="D49" s="230"/>
      <c r="E49" s="230"/>
      <c r="F49" s="230"/>
      <c r="G49" s="230"/>
      <c r="H49" s="230"/>
      <c r="I49" s="230"/>
      <c r="J49" s="230"/>
      <c r="K49" s="192"/>
      <c r="L49" s="354"/>
    </row>
    <row r="50" spans="1:12" ht="20.25">
      <c r="A50" s="197"/>
      <c r="B50" s="113"/>
      <c r="C50" s="113"/>
      <c r="D50" s="113"/>
      <c r="E50" s="113"/>
      <c r="F50" s="113"/>
      <c r="G50" s="155"/>
      <c r="H50" s="113"/>
      <c r="I50" s="113"/>
      <c r="J50" s="113"/>
      <c r="K50" s="97"/>
      <c r="L50" s="354"/>
    </row>
    <row r="51" spans="1:12" ht="12.75">
      <c r="A51" s="188"/>
      <c r="B51" s="134"/>
      <c r="C51" s="133"/>
      <c r="D51" s="133"/>
      <c r="E51" s="133"/>
      <c r="F51" s="231"/>
      <c r="G51" s="182"/>
      <c r="H51" s="15"/>
      <c r="I51" s="135" t="s">
        <v>64</v>
      </c>
      <c r="J51" s="136"/>
      <c r="K51" s="117"/>
      <c r="L51" s="354"/>
    </row>
    <row r="52" spans="1:12" ht="12.75">
      <c r="A52" s="197"/>
      <c r="B52" s="233"/>
      <c r="C52" s="12" t="s">
        <v>75</v>
      </c>
      <c r="D52" s="12" t="s">
        <v>67</v>
      </c>
      <c r="E52" s="12" t="s">
        <v>69</v>
      </c>
      <c r="F52" s="815" t="s">
        <v>70</v>
      </c>
      <c r="G52" s="816"/>
      <c r="H52" s="12" t="s">
        <v>71</v>
      </c>
      <c r="I52" s="12" t="s">
        <v>72</v>
      </c>
      <c r="J52" s="138" t="s">
        <v>73</v>
      </c>
      <c r="K52" s="117"/>
      <c r="L52" s="354"/>
    </row>
    <row r="53" spans="1:12" ht="12.75">
      <c r="A53" s="197"/>
      <c r="B53" s="233"/>
      <c r="C53" s="142"/>
      <c r="D53" s="142"/>
      <c r="E53" s="142"/>
      <c r="F53" s="145"/>
      <c r="G53" s="126"/>
      <c r="H53" s="150"/>
      <c r="I53" s="144" t="s">
        <v>74</v>
      </c>
      <c r="J53" s="145"/>
      <c r="K53" s="234"/>
      <c r="L53" s="354"/>
    </row>
    <row r="54" spans="1:12" ht="12.75">
      <c r="A54" s="197"/>
      <c r="B54" s="233"/>
      <c r="C54" s="148"/>
      <c r="D54" s="148"/>
      <c r="E54" s="153" t="s">
        <v>146</v>
      </c>
      <c r="F54" s="181" t="s">
        <v>473</v>
      </c>
      <c r="G54" s="106"/>
      <c r="H54" s="235"/>
      <c r="I54" s="161">
        <f>J47</f>
        <v>50584.05</v>
      </c>
      <c r="J54" s="236">
        <f>J47</f>
        <v>50584.05</v>
      </c>
      <c r="K54" s="117"/>
      <c r="L54" s="354"/>
    </row>
    <row r="55" spans="1:12" ht="12.75">
      <c r="A55" s="197"/>
      <c r="B55" s="233"/>
      <c r="C55" s="706"/>
      <c r="D55" s="12"/>
      <c r="E55" s="153"/>
      <c r="F55" s="226"/>
      <c r="G55" s="227"/>
      <c r="H55" s="160"/>
      <c r="I55" s="179"/>
      <c r="J55" s="177"/>
      <c r="K55" s="173"/>
      <c r="L55" s="354"/>
    </row>
    <row r="56" spans="1:12" ht="12.75">
      <c r="A56" s="197"/>
      <c r="B56" s="233"/>
      <c r="C56" s="237">
        <v>5.5</v>
      </c>
      <c r="D56" s="12" t="s">
        <v>51</v>
      </c>
      <c r="E56" s="153" t="s">
        <v>149</v>
      </c>
      <c r="F56" s="226" t="s">
        <v>138</v>
      </c>
      <c r="G56" s="227"/>
      <c r="H56" s="160">
        <f>(C56/100)</f>
        <v>0.055</v>
      </c>
      <c r="I56" s="179"/>
      <c r="J56" s="177">
        <f>(+J54*H56)</f>
        <v>2782.12</v>
      </c>
      <c r="K56" s="173">
        <f>J56/J67</f>
        <v>0.0441</v>
      </c>
      <c r="L56" s="354"/>
    </row>
    <row r="57" spans="1:14" ht="12.75">
      <c r="A57" s="197"/>
      <c r="B57" s="233"/>
      <c r="C57" s="161" t="s">
        <v>139</v>
      </c>
      <c r="D57" s="148"/>
      <c r="E57" s="148"/>
      <c r="F57" s="156"/>
      <c r="G57" s="113"/>
      <c r="H57" s="160"/>
      <c r="I57" s="161"/>
      <c r="J57" s="177"/>
      <c r="K57" s="238"/>
      <c r="L57" s="354"/>
      <c r="N57" s="178"/>
    </row>
    <row r="58" spans="1:12" ht="12.75">
      <c r="A58" s="197"/>
      <c r="B58" s="233"/>
      <c r="C58" s="245"/>
      <c r="D58" s="148"/>
      <c r="E58" s="153" t="s">
        <v>152</v>
      </c>
      <c r="F58" s="226" t="s">
        <v>424</v>
      </c>
      <c r="G58" s="113"/>
      <c r="H58" s="160"/>
      <c r="I58" s="179"/>
      <c r="J58" s="177">
        <f>SUM(J54:J56)</f>
        <v>53366.17</v>
      </c>
      <c r="K58" s="173"/>
      <c r="L58" s="354"/>
    </row>
    <row r="59" spans="1:12" ht="12.75">
      <c r="A59" s="197"/>
      <c r="B59" s="233"/>
      <c r="C59" s="161">
        <v>0</v>
      </c>
      <c r="D59" s="12" t="s">
        <v>51</v>
      </c>
      <c r="E59" s="153" t="s">
        <v>154</v>
      </c>
      <c r="F59" s="226" t="s">
        <v>142</v>
      </c>
      <c r="G59" s="227"/>
      <c r="H59" s="160">
        <f>(C59/100)</f>
        <v>0</v>
      </c>
      <c r="I59" s="246">
        <f>J58</f>
        <v>53366.17</v>
      </c>
      <c r="J59" s="177">
        <f>(+J58*H59)</f>
        <v>0</v>
      </c>
      <c r="K59" s="173">
        <f>J59/J67</f>
        <v>0</v>
      </c>
      <c r="L59" s="354"/>
    </row>
    <row r="60" spans="1:12" ht="12.75">
      <c r="A60" s="197"/>
      <c r="B60" s="233"/>
      <c r="C60" s="161" t="s">
        <v>139</v>
      </c>
      <c r="D60" s="148"/>
      <c r="E60" s="148"/>
      <c r="F60" s="156"/>
      <c r="G60" s="113"/>
      <c r="H60" s="160"/>
      <c r="I60" s="161"/>
      <c r="J60" s="177"/>
      <c r="K60" s="238"/>
      <c r="L60" s="354"/>
    </row>
    <row r="61" spans="1:12" ht="12.75">
      <c r="A61" s="197"/>
      <c r="B61" s="233"/>
      <c r="C61" s="161" t="s">
        <v>139</v>
      </c>
      <c r="D61" s="148"/>
      <c r="E61" s="153" t="s">
        <v>155</v>
      </c>
      <c r="F61" s="226" t="s">
        <v>425</v>
      </c>
      <c r="G61" s="113"/>
      <c r="H61" s="160"/>
      <c r="I61" s="179"/>
      <c r="J61" s="177">
        <f>SUM(J58:J59)</f>
        <v>53366.17</v>
      </c>
      <c r="K61" s="238"/>
      <c r="L61" s="354"/>
    </row>
    <row r="62" spans="1:12" ht="12.75">
      <c r="A62" s="197"/>
      <c r="B62" s="233"/>
      <c r="C62" s="237">
        <v>9</v>
      </c>
      <c r="D62" s="12" t="s">
        <v>51</v>
      </c>
      <c r="E62" s="153" t="s">
        <v>156</v>
      </c>
      <c r="F62" s="226" t="s">
        <v>427</v>
      </c>
      <c r="G62" s="227"/>
      <c r="H62" s="160">
        <f>(C62/100)</f>
        <v>0.09</v>
      </c>
      <c r="I62" s="246">
        <f>J61</f>
        <v>53366.17</v>
      </c>
      <c r="J62" s="177">
        <f>(+J61*H62)</f>
        <v>4802.96</v>
      </c>
      <c r="K62" s="173">
        <f>J62/J67</f>
        <v>0.0761</v>
      </c>
      <c r="L62" s="354"/>
    </row>
    <row r="63" spans="1:12" ht="12.75">
      <c r="A63" s="197"/>
      <c r="B63" s="233"/>
      <c r="C63" s="161" t="s">
        <v>139</v>
      </c>
      <c r="D63" s="148"/>
      <c r="E63" s="148"/>
      <c r="F63" s="156"/>
      <c r="G63" s="113"/>
      <c r="H63" s="160"/>
      <c r="I63" s="179"/>
      <c r="J63" s="177"/>
      <c r="K63" s="238"/>
      <c r="L63" s="354"/>
    </row>
    <row r="64" spans="1:12" ht="12.75">
      <c r="A64" s="197"/>
      <c r="B64" s="233"/>
      <c r="C64" s="161" t="s">
        <v>139</v>
      </c>
      <c r="D64" s="148"/>
      <c r="E64" s="153" t="s">
        <v>158</v>
      </c>
      <c r="F64" s="226" t="s">
        <v>162</v>
      </c>
      <c r="G64" s="113"/>
      <c r="H64" s="160"/>
      <c r="I64" s="179"/>
      <c r="J64" s="177">
        <f>SUM(J61:J62)</f>
        <v>58169.13</v>
      </c>
      <c r="K64" s="238"/>
      <c r="L64" s="354"/>
    </row>
    <row r="65" spans="1:12" ht="12.75">
      <c r="A65" s="197"/>
      <c r="B65" s="233"/>
      <c r="C65" s="255">
        <f>(15%*C62)+(9%*C62)+3.65+2</f>
        <v>7.81</v>
      </c>
      <c r="D65" s="12" t="s">
        <v>51</v>
      </c>
      <c r="E65" s="153" t="s">
        <v>165</v>
      </c>
      <c r="F65" s="226" t="s">
        <v>151</v>
      </c>
      <c r="G65" s="227"/>
      <c r="H65" s="160">
        <f>(C65/100)</f>
        <v>0.0781</v>
      </c>
      <c r="I65" s="179"/>
      <c r="J65" s="177">
        <f>(+J67*H65)</f>
        <v>4927.88</v>
      </c>
      <c r="K65" s="173">
        <f>J65/J67</f>
        <v>0.0781</v>
      </c>
      <c r="L65" s="354"/>
    </row>
    <row r="66" spans="1:12" ht="12.75">
      <c r="A66" s="197"/>
      <c r="B66" s="233"/>
      <c r="C66" s="161" t="s">
        <v>139</v>
      </c>
      <c r="D66" s="148"/>
      <c r="E66" s="148"/>
      <c r="F66" s="156"/>
      <c r="G66" s="113"/>
      <c r="H66" s="179"/>
      <c r="I66" s="179"/>
      <c r="J66" s="177"/>
      <c r="K66" s="238"/>
      <c r="L66" s="354"/>
    </row>
    <row r="67" spans="1:12" ht="16.5" thickBot="1">
      <c r="A67" s="260"/>
      <c r="B67" s="261"/>
      <c r="C67" s="262" t="s">
        <v>139</v>
      </c>
      <c r="D67" s="263"/>
      <c r="E67" s="264" t="s">
        <v>161</v>
      </c>
      <c r="F67" s="265" t="s">
        <v>426</v>
      </c>
      <c r="G67" s="266"/>
      <c r="H67" s="266"/>
      <c r="I67" s="266"/>
      <c r="J67" s="357">
        <f>J64/(1-H65)</f>
        <v>63097.01</v>
      </c>
      <c r="K67" s="268">
        <f>J67/J67</f>
        <v>1</v>
      </c>
      <c r="L67" s="354"/>
    </row>
    <row r="69" ht="15.75">
      <c r="A69" s="69" t="s">
        <v>169</v>
      </c>
    </row>
    <row r="71" spans="1:7" ht="15.75">
      <c r="A71" s="69" t="str">
        <f>'Trator de Esteira'!A61</f>
        <v>Patos de Minas-MG, 16 de Novembro de 2015.</v>
      </c>
      <c r="G71" s="13"/>
    </row>
    <row r="72" spans="7:9" ht="15">
      <c r="G72" s="11"/>
      <c r="H72" s="11"/>
      <c r="I72" s="11"/>
    </row>
    <row r="73" spans="7:9" ht="15">
      <c r="G73" s="11"/>
      <c r="H73" s="11"/>
      <c r="I73" s="11"/>
    </row>
    <row r="77" spans="1:10" ht="12">
      <c r="A77" s="275"/>
      <c r="B77" s="275"/>
      <c r="C77" s="275"/>
      <c r="D77" s="275"/>
      <c r="E77" s="275"/>
      <c r="F77" s="275"/>
      <c r="G77" s="275"/>
      <c r="H77" s="275"/>
      <c r="I77" s="275"/>
      <c r="J77" s="275"/>
    </row>
    <row r="101" ht="2.25" customHeight="1"/>
    <row r="102" ht="12.75" customHeight="1"/>
    <row r="103" ht="0.75" customHeight="1"/>
    <row r="128" ht="12.75">
      <c r="L128" s="276"/>
    </row>
    <row r="129" ht="12.75">
      <c r="L129" s="276"/>
    </row>
    <row r="130" ht="12.75">
      <c r="L130" s="276"/>
    </row>
    <row r="131" ht="12.75">
      <c r="L131" s="276"/>
    </row>
    <row r="132" ht="12.75">
      <c r="L132" s="2"/>
    </row>
    <row r="133" spans="1:11" ht="12.75">
      <c r="A133" s="276"/>
      <c r="B133" s="276"/>
      <c r="C133" s="276"/>
      <c r="D133" s="276"/>
      <c r="E133" s="280"/>
      <c r="F133" s="280"/>
      <c r="G133" s="280"/>
      <c r="H133" s="280"/>
      <c r="I133" s="280"/>
      <c r="J133" s="280"/>
      <c r="K133" s="280"/>
    </row>
    <row r="134" spans="1:12" ht="12.75">
      <c r="A134" s="276"/>
      <c r="B134" s="276"/>
      <c r="C134" s="276"/>
      <c r="D134" s="276"/>
      <c r="E134" s="276"/>
      <c r="F134" s="276"/>
      <c r="G134" s="276"/>
      <c r="H134" s="276"/>
      <c r="I134" s="276"/>
      <c r="J134" s="281"/>
      <c r="K134" s="281"/>
      <c r="L134" s="178"/>
    </row>
    <row r="135" spans="1:11" ht="12.75">
      <c r="A135" s="276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</row>
    <row r="136" spans="1:11" ht="12.75">
      <c r="A136" s="276"/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</row>
    <row r="137" spans="1:11" ht="12.75">
      <c r="A137" s="276"/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</row>
    <row r="138" spans="1:11" ht="12.75">
      <c r="A138" s="276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</row>
    <row r="139" spans="1:12" ht="12.75">
      <c r="A139" s="2"/>
      <c r="B139" s="2"/>
      <c r="C139" s="2"/>
      <c r="D139" s="2"/>
      <c r="E139" s="28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2"/>
      <c r="C140" s="2"/>
      <c r="D140" s="2"/>
      <c r="E140" s="283"/>
      <c r="F140" s="283"/>
      <c r="G140" s="283"/>
      <c r="H140" s="283"/>
      <c r="I140" s="2"/>
      <c r="J140" s="2"/>
      <c r="K140" s="2"/>
      <c r="L140" s="4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1:12" ht="12.75">
      <c r="A142" s="283"/>
      <c r="B142" s="283"/>
      <c r="C142" s="283"/>
      <c r="D142" s="283"/>
      <c r="E142" s="283"/>
      <c r="F142" s="283"/>
      <c r="G142" s="283"/>
      <c r="H142" s="283"/>
      <c r="I142" s="283"/>
      <c r="J142" s="283"/>
      <c r="K142" s="283"/>
      <c r="L142" s="4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4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4"/>
    </row>
    <row r="145" spans="1:12" ht="12.75">
      <c r="A145" s="2"/>
      <c r="B145" s="5"/>
      <c r="C145" s="2"/>
      <c r="D145" s="279"/>
      <c r="E145" s="2"/>
      <c r="F145" s="2"/>
      <c r="G145" s="2"/>
      <c r="H145" s="2"/>
      <c r="I145" s="2"/>
      <c r="J145" s="2"/>
      <c r="K145" s="2"/>
      <c r="L145" s="4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4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4"/>
    </row>
    <row r="148" spans="1:12" ht="12.75">
      <c r="A148" s="2"/>
      <c r="B148" s="5"/>
      <c r="C148" s="2"/>
      <c r="D148" s="279"/>
      <c r="E148" s="2"/>
      <c r="F148" s="2"/>
      <c r="G148" s="2"/>
      <c r="H148" s="2"/>
      <c r="I148" s="2"/>
      <c r="J148" s="2"/>
      <c r="K148" s="2"/>
      <c r="L148" s="4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4"/>
    </row>
    <row r="150" spans="1:12" ht="1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">
      <c r="A151" s="4"/>
      <c r="B151" s="6"/>
      <c r="C151" s="4"/>
      <c r="D151" s="284"/>
      <c r="E151" s="4"/>
      <c r="F151" s="4"/>
      <c r="G151" s="4"/>
      <c r="H151" s="4"/>
      <c r="I151" s="4"/>
      <c r="J151" s="4"/>
      <c r="K151" s="4"/>
      <c r="L151" s="4"/>
    </row>
    <row r="152" spans="1:12" ht="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4"/>
    </row>
    <row r="155" spans="1:12" ht="12">
      <c r="A155" s="4"/>
      <c r="B155" s="4"/>
      <c r="C155" s="6"/>
      <c r="D155" s="4"/>
      <c r="E155" s="4"/>
      <c r="F155" s="4"/>
      <c r="G155" s="285"/>
      <c r="H155" s="285"/>
      <c r="L155" s="4"/>
    </row>
    <row r="156" spans="1:12" ht="12">
      <c r="A156" s="7"/>
      <c r="B156" s="7"/>
      <c r="C156" s="7"/>
      <c r="D156" s="7"/>
      <c r="E156" s="7"/>
      <c r="F156" s="7"/>
      <c r="G156" s="7"/>
      <c r="H156" s="7"/>
      <c r="L156" s="4"/>
    </row>
    <row r="157" spans="1:12" ht="12">
      <c r="A157" s="4"/>
      <c r="B157" s="4"/>
      <c r="C157" s="4"/>
      <c r="D157" s="4"/>
      <c r="E157" s="4"/>
      <c r="F157" s="4"/>
      <c r="G157" s="4"/>
      <c r="H157" s="4"/>
      <c r="L157" s="4"/>
    </row>
    <row r="158" spans="1:12" ht="12">
      <c r="A158" s="4"/>
      <c r="B158" s="4"/>
      <c r="C158" s="4"/>
      <c r="D158" s="4"/>
      <c r="E158" s="4"/>
      <c r="F158" s="4"/>
      <c r="G158" s="4"/>
      <c r="H158" s="4"/>
      <c r="L158" s="4"/>
    </row>
    <row r="159" spans="2:12" ht="12">
      <c r="B159" s="286"/>
      <c r="C159" s="287"/>
      <c r="G159" s="288"/>
      <c r="H159" s="287"/>
      <c r="L159" s="4"/>
    </row>
    <row r="160" spans="7:12" ht="12">
      <c r="G160" s="289"/>
      <c r="L160" s="4"/>
    </row>
    <row r="161" spans="7:12" ht="12">
      <c r="G161" s="289"/>
      <c r="L161" s="4"/>
    </row>
    <row r="162" spans="2:12" ht="12">
      <c r="B162" s="286"/>
      <c r="C162" s="287"/>
      <c r="G162" s="288"/>
      <c r="H162" s="287"/>
      <c r="L162" s="4"/>
    </row>
    <row r="163" spans="7:12" ht="12">
      <c r="G163" s="29"/>
      <c r="L163" s="4"/>
    </row>
    <row r="164" spans="7:12" ht="12">
      <c r="G164" s="29"/>
      <c r="L164" s="4"/>
    </row>
    <row r="165" spans="2:12" ht="12">
      <c r="B165" s="3"/>
      <c r="C165" s="290"/>
      <c r="G165" s="288"/>
      <c r="H165" s="287"/>
      <c r="L165" s="4"/>
    </row>
    <row r="166" spans="7:12" ht="12">
      <c r="G166" s="29"/>
      <c r="L166" s="4"/>
    </row>
    <row r="167" spans="7:12" ht="12">
      <c r="G167" s="29"/>
      <c r="L167" s="4"/>
    </row>
    <row r="168" spans="2:12" ht="12">
      <c r="B168" s="3"/>
      <c r="C168" s="291"/>
      <c r="G168" s="288"/>
      <c r="H168" s="292"/>
      <c r="L168" s="4"/>
    </row>
    <row r="169" spans="10:12" ht="12">
      <c r="J169" s="4"/>
      <c r="K169" s="4"/>
      <c r="L169" s="4"/>
    </row>
    <row r="170" spans="1:12" ht="12">
      <c r="A170" s="293"/>
      <c r="B170" s="293"/>
      <c r="C170" s="293"/>
      <c r="D170" s="293"/>
      <c r="E170" s="293"/>
      <c r="F170" s="293"/>
      <c r="G170" s="293"/>
      <c r="H170" s="293"/>
      <c r="I170" s="293"/>
      <c r="J170" s="7"/>
      <c r="K170" s="7"/>
      <c r="L170" s="4"/>
    </row>
    <row r="171" spans="10:12" ht="12">
      <c r="J171" s="4"/>
      <c r="K171" s="4"/>
      <c r="L171" s="4"/>
    </row>
    <row r="172" spans="2:12" ht="12">
      <c r="B172" s="286"/>
      <c r="D172" s="292"/>
      <c r="J172" s="4"/>
      <c r="K172" s="4"/>
      <c r="L172" s="4"/>
    </row>
    <row r="173" spans="10:12" ht="12">
      <c r="J173" s="4"/>
      <c r="K173" s="4"/>
      <c r="L173" s="4"/>
    </row>
    <row r="174" spans="1:12" ht="12">
      <c r="A174" s="293"/>
      <c r="B174" s="293"/>
      <c r="C174" s="293"/>
      <c r="D174" s="293"/>
      <c r="E174" s="293"/>
      <c r="F174" s="293"/>
      <c r="G174" s="293"/>
      <c r="H174" s="293"/>
      <c r="I174" s="293"/>
      <c r="J174" s="7"/>
      <c r="K174" s="7"/>
      <c r="L174" s="4"/>
    </row>
    <row r="175" spans="1:12" ht="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</sheetData>
  <sheetProtection password="F184" sheet="1"/>
  <mergeCells count="3">
    <mergeCell ref="A1:K1"/>
    <mergeCell ref="A5:J5"/>
    <mergeCell ref="F52:G52"/>
  </mergeCells>
  <printOptions horizontalCentered="1" verticalCentered="1"/>
  <pageMargins left="0" right="0" top="0.5905511811023623" bottom="0.1968503937007874" header="0.11811023622047245" footer="0.31496062992125984"/>
  <pageSetup horizontalDpi="600" verticalDpi="600" orientation="portrait" paperSize="9" scale="70" r:id="rId1"/>
  <headerFooter alignWithMargins="0">
    <oddHeader>&amp;CPágina &amp;P de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46">
      <selection activeCell="D40" sqref="D40"/>
    </sheetView>
  </sheetViews>
  <sheetFormatPr defaultColWidth="11.00390625" defaultRowHeight="12.75"/>
  <cols>
    <col min="1" max="1" width="9.00390625" style="1" customWidth="1"/>
    <col min="2" max="2" width="12.00390625" style="1" customWidth="1"/>
    <col min="3" max="3" width="10.875" style="1" customWidth="1"/>
    <col min="4" max="4" width="9.375" style="1" customWidth="1"/>
    <col min="5" max="5" width="7.375" style="1" customWidth="1"/>
    <col min="6" max="6" width="10.75390625" style="1" customWidth="1"/>
    <col min="7" max="7" width="35.125" style="1" customWidth="1"/>
    <col min="8" max="8" width="13.125" style="1" customWidth="1"/>
    <col min="9" max="9" width="13.00390625" style="1" customWidth="1"/>
    <col min="10" max="10" width="12.375" style="1" customWidth="1"/>
    <col min="11" max="11" width="9.375" style="1" customWidth="1"/>
    <col min="12" max="12" width="0.875" style="1" customWidth="1"/>
    <col min="13" max="16384" width="11.00390625" style="1" customWidth="1"/>
  </cols>
  <sheetData>
    <row r="1" spans="1:12" ht="22.5" customHeight="1" thickBot="1">
      <c r="A1" s="834" t="s">
        <v>259</v>
      </c>
      <c r="B1" s="835"/>
      <c r="C1" s="835"/>
      <c r="D1" s="835"/>
      <c r="E1" s="835"/>
      <c r="F1" s="835"/>
      <c r="G1" s="835"/>
      <c r="H1" s="835"/>
      <c r="I1" s="835"/>
      <c r="J1" s="835"/>
      <c r="K1" s="836"/>
      <c r="L1" s="354"/>
    </row>
    <row r="2" spans="1:12" ht="20.25">
      <c r="A2" s="85" t="s">
        <v>260</v>
      </c>
      <c r="B2" s="86"/>
      <c r="C2" s="87"/>
      <c r="D2" s="86"/>
      <c r="E2" s="86"/>
      <c r="F2" s="86"/>
      <c r="G2" s="88"/>
      <c r="H2" s="86"/>
      <c r="I2" s="86"/>
      <c r="J2" s="86"/>
      <c r="K2" s="89"/>
      <c r="L2" s="354"/>
    </row>
    <row r="3" spans="1:12" ht="20.25">
      <c r="A3" s="94" t="s">
        <v>261</v>
      </c>
      <c r="B3" s="95"/>
      <c r="C3" s="95"/>
      <c r="D3" s="95"/>
      <c r="E3" s="96"/>
      <c r="F3" s="95"/>
      <c r="G3" s="95"/>
      <c r="H3" s="95"/>
      <c r="I3" s="95"/>
      <c r="J3" s="95"/>
      <c r="K3" s="97" t="s">
        <v>51</v>
      </c>
      <c r="L3" s="354"/>
    </row>
    <row r="4" spans="1:12" ht="1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3"/>
      <c r="L4" s="354"/>
    </row>
    <row r="5" spans="1:12" ht="20.25">
      <c r="A5" s="823" t="s">
        <v>53</v>
      </c>
      <c r="B5" s="824"/>
      <c r="C5" s="824"/>
      <c r="D5" s="824"/>
      <c r="E5" s="824"/>
      <c r="F5" s="824"/>
      <c r="G5" s="824"/>
      <c r="H5" s="824"/>
      <c r="I5" s="824"/>
      <c r="J5" s="825"/>
      <c r="K5" s="108"/>
      <c r="L5" s="354"/>
    </row>
    <row r="6" spans="1:12" ht="12.75">
      <c r="A6" s="104"/>
      <c r="B6" s="105"/>
      <c r="C6" s="105"/>
      <c r="D6" s="105"/>
      <c r="E6" s="114"/>
      <c r="F6" s="105"/>
      <c r="G6" s="105"/>
      <c r="H6" s="105"/>
      <c r="I6" s="105"/>
      <c r="J6" s="105"/>
      <c r="K6" s="115"/>
      <c r="L6" s="354"/>
    </row>
    <row r="7" spans="1:12" ht="15.75">
      <c r="A7" s="109" t="s">
        <v>60</v>
      </c>
      <c r="B7" s="111" t="s">
        <v>61</v>
      </c>
      <c r="C7" s="110"/>
      <c r="D7" s="110"/>
      <c r="E7" s="110"/>
      <c r="F7" s="110"/>
      <c r="G7" s="110"/>
      <c r="H7" s="110"/>
      <c r="I7" s="110"/>
      <c r="J7" s="110"/>
      <c r="K7" s="117"/>
      <c r="L7" s="354"/>
    </row>
    <row r="8" spans="1:12" ht="12.75">
      <c r="A8" s="121"/>
      <c r="B8" s="137"/>
      <c r="C8" s="123"/>
      <c r="D8" s="137"/>
      <c r="E8" s="124"/>
      <c r="F8" s="125"/>
      <c r="G8" s="126"/>
      <c r="H8" s="126"/>
      <c r="I8" s="126"/>
      <c r="J8" s="126"/>
      <c r="K8" s="117"/>
      <c r="L8" s="354"/>
    </row>
    <row r="9" spans="1:14" ht="12.75">
      <c r="A9" s="14"/>
      <c r="B9" s="15"/>
      <c r="C9" s="15"/>
      <c r="D9" s="15"/>
      <c r="E9" s="15"/>
      <c r="F9" s="15"/>
      <c r="G9" s="15"/>
      <c r="H9" s="15"/>
      <c r="I9" s="135" t="s">
        <v>64</v>
      </c>
      <c r="J9" s="139"/>
      <c r="K9" s="140"/>
      <c r="L9" s="354"/>
      <c r="N9" s="355"/>
    </row>
    <row r="10" spans="1:12" ht="12.75">
      <c r="A10" s="16" t="s">
        <v>75</v>
      </c>
      <c r="B10" s="12" t="s">
        <v>67</v>
      </c>
      <c r="C10" s="12" t="s">
        <v>76</v>
      </c>
      <c r="D10" s="12" t="s">
        <v>67</v>
      </c>
      <c r="E10" s="12" t="s">
        <v>66</v>
      </c>
      <c r="F10" s="12" t="s">
        <v>69</v>
      </c>
      <c r="G10" s="12" t="s">
        <v>70</v>
      </c>
      <c r="H10" s="12" t="s">
        <v>71</v>
      </c>
      <c r="I10" s="12" t="s">
        <v>72</v>
      </c>
      <c r="J10" s="138" t="s">
        <v>73</v>
      </c>
      <c r="K10" s="147"/>
      <c r="L10" s="354"/>
    </row>
    <row r="11" spans="1:12" ht="12.75">
      <c r="A11" s="149"/>
      <c r="B11" s="150"/>
      <c r="C11" s="150"/>
      <c r="D11" s="150"/>
      <c r="E11" s="150"/>
      <c r="F11" s="150"/>
      <c r="G11" s="150"/>
      <c r="H11" s="150"/>
      <c r="I11" s="144" t="s">
        <v>74</v>
      </c>
      <c r="J11" s="151"/>
      <c r="K11" s="140"/>
      <c r="L11" s="354"/>
    </row>
    <row r="12" spans="1:12" ht="12.75">
      <c r="A12" s="152"/>
      <c r="B12" s="148"/>
      <c r="C12" s="148"/>
      <c r="D12" s="148"/>
      <c r="E12" s="148"/>
      <c r="F12" s="148"/>
      <c r="G12" s="148"/>
      <c r="H12" s="148"/>
      <c r="I12" s="148"/>
      <c r="J12" s="156"/>
      <c r="K12" s="117"/>
      <c r="L12" s="354"/>
    </row>
    <row r="13" spans="1:12" ht="12.75">
      <c r="A13" s="152"/>
      <c r="B13" s="148"/>
      <c r="C13" s="148"/>
      <c r="D13" s="148"/>
      <c r="E13" s="148"/>
      <c r="F13" s="153" t="s">
        <v>79</v>
      </c>
      <c r="G13" s="12" t="s">
        <v>80</v>
      </c>
      <c r="H13" s="148"/>
      <c r="I13" s="148"/>
      <c r="J13" s="156"/>
      <c r="K13" s="117"/>
      <c r="L13" s="354"/>
    </row>
    <row r="14" spans="1:12" ht="12.75">
      <c r="A14" s="185"/>
      <c r="B14" s="148"/>
      <c r="C14" s="161"/>
      <c r="D14" s="148"/>
      <c r="E14" s="148"/>
      <c r="F14" s="148"/>
      <c r="G14" s="148"/>
      <c r="H14" s="195"/>
      <c r="I14" s="161"/>
      <c r="J14" s="177"/>
      <c r="K14" s="192"/>
      <c r="L14" s="354"/>
    </row>
    <row r="15" spans="1:12" ht="12.75">
      <c r="A15" s="769">
        <f>(100*45)/12</f>
        <v>375</v>
      </c>
      <c r="B15" s="12" t="s">
        <v>218</v>
      </c>
      <c r="C15" s="770">
        <v>12</v>
      </c>
      <c r="D15" s="12" t="s">
        <v>87</v>
      </c>
      <c r="E15" s="159">
        <v>1</v>
      </c>
      <c r="F15" s="153" t="s">
        <v>89</v>
      </c>
      <c r="G15" s="153" t="s">
        <v>262</v>
      </c>
      <c r="H15" s="367">
        <f>A15/C15</f>
        <v>31.25</v>
      </c>
      <c r="I15" s="255">
        <v>19.9</v>
      </c>
      <c r="J15" s="177">
        <f>(+I15*H15)</f>
        <v>621.88</v>
      </c>
      <c r="K15" s="173">
        <f aca="true" t="shared" si="0" ref="K15:K31">J15/J$63</f>
        <v>0.0358</v>
      </c>
      <c r="L15" s="354"/>
    </row>
    <row r="16" spans="1:12" ht="12.75">
      <c r="A16" s="769">
        <v>12</v>
      </c>
      <c r="B16" s="12" t="s">
        <v>263</v>
      </c>
      <c r="C16" s="770">
        <v>12</v>
      </c>
      <c r="D16" s="12" t="s">
        <v>87</v>
      </c>
      <c r="E16" s="159">
        <v>1</v>
      </c>
      <c r="F16" s="153" t="s">
        <v>100</v>
      </c>
      <c r="G16" s="153" t="s">
        <v>264</v>
      </c>
      <c r="H16" s="367">
        <f aca="true" t="shared" si="1" ref="H16:H27">A16/C16</f>
        <v>1</v>
      </c>
      <c r="I16" s="255">
        <v>68.98</v>
      </c>
      <c r="J16" s="177">
        <f aca="true" t="shared" si="2" ref="J16:J27">(+I16*H16)</f>
        <v>68.98</v>
      </c>
      <c r="K16" s="173">
        <f t="shared" si="0"/>
        <v>0.004</v>
      </c>
      <c r="L16" s="354"/>
    </row>
    <row r="17" spans="1:12" ht="12.75">
      <c r="A17" s="769">
        <v>24</v>
      </c>
      <c r="B17" s="12" t="s">
        <v>202</v>
      </c>
      <c r="C17" s="770">
        <v>12</v>
      </c>
      <c r="D17" s="12" t="s">
        <v>87</v>
      </c>
      <c r="E17" s="159">
        <v>1</v>
      </c>
      <c r="F17" s="153" t="s">
        <v>109</v>
      </c>
      <c r="G17" s="153" t="s">
        <v>265</v>
      </c>
      <c r="H17" s="367">
        <f t="shared" si="1"/>
        <v>2</v>
      </c>
      <c r="I17" s="255">
        <v>25.04</v>
      </c>
      <c r="J17" s="177">
        <f t="shared" si="2"/>
        <v>50.08</v>
      </c>
      <c r="K17" s="173">
        <f t="shared" si="0"/>
        <v>0.0029</v>
      </c>
      <c r="L17" s="354"/>
    </row>
    <row r="18" spans="1:12" ht="12.75">
      <c r="A18" s="769">
        <v>1</v>
      </c>
      <c r="B18" s="12" t="s">
        <v>263</v>
      </c>
      <c r="C18" s="770">
        <v>1</v>
      </c>
      <c r="D18" s="12" t="s">
        <v>87</v>
      </c>
      <c r="E18" s="159">
        <v>1</v>
      </c>
      <c r="F18" s="153" t="s">
        <v>113</v>
      </c>
      <c r="G18" s="153" t="s">
        <v>266</v>
      </c>
      <c r="H18" s="367">
        <f t="shared" si="1"/>
        <v>1</v>
      </c>
      <c r="I18" s="255">
        <f>(300+110+46)/3</f>
        <v>152</v>
      </c>
      <c r="J18" s="177">
        <f t="shared" si="2"/>
        <v>152</v>
      </c>
      <c r="K18" s="173">
        <f t="shared" si="0"/>
        <v>0.0088</v>
      </c>
      <c r="L18" s="354"/>
    </row>
    <row r="19" spans="1:12" ht="12.75">
      <c r="A19" s="769">
        <v>10</v>
      </c>
      <c r="B19" s="12" t="s">
        <v>202</v>
      </c>
      <c r="C19" s="770">
        <v>1</v>
      </c>
      <c r="D19" s="12" t="s">
        <v>87</v>
      </c>
      <c r="E19" s="159">
        <v>1</v>
      </c>
      <c r="F19" s="153" t="s">
        <v>116</v>
      </c>
      <c r="G19" s="153" t="s">
        <v>267</v>
      </c>
      <c r="H19" s="367">
        <f t="shared" si="1"/>
        <v>10</v>
      </c>
      <c r="I19" s="255">
        <v>266.67</v>
      </c>
      <c r="J19" s="177">
        <f t="shared" si="2"/>
        <v>2666.7</v>
      </c>
      <c r="K19" s="173">
        <f t="shared" si="0"/>
        <v>0.1536</v>
      </c>
      <c r="L19" s="354"/>
    </row>
    <row r="20" spans="1:14" ht="12.75">
      <c r="A20" s="769">
        <v>10</v>
      </c>
      <c r="B20" s="12" t="s">
        <v>202</v>
      </c>
      <c r="C20" s="770">
        <v>1</v>
      </c>
      <c r="D20" s="12" t="s">
        <v>87</v>
      </c>
      <c r="E20" s="159">
        <v>1</v>
      </c>
      <c r="F20" s="153" t="s">
        <v>120</v>
      </c>
      <c r="G20" s="153" t="s">
        <v>268</v>
      </c>
      <c r="H20" s="367">
        <f t="shared" si="1"/>
        <v>10</v>
      </c>
      <c r="I20" s="255">
        <v>133.33</v>
      </c>
      <c r="J20" s="177">
        <f t="shared" si="2"/>
        <v>1333.3</v>
      </c>
      <c r="K20" s="173">
        <f t="shared" si="0"/>
        <v>0.0768</v>
      </c>
      <c r="L20" s="354"/>
      <c r="N20" s="178"/>
    </row>
    <row r="21" spans="1:14" ht="12.75">
      <c r="A21" s="769">
        <v>10</v>
      </c>
      <c r="B21" s="12" t="s">
        <v>202</v>
      </c>
      <c r="C21" s="770">
        <v>1</v>
      </c>
      <c r="D21" s="12" t="s">
        <v>87</v>
      </c>
      <c r="E21" s="159">
        <v>1</v>
      </c>
      <c r="F21" s="153" t="s">
        <v>125</v>
      </c>
      <c r="G21" s="153" t="s">
        <v>269</v>
      </c>
      <c r="H21" s="367">
        <f t="shared" si="1"/>
        <v>10</v>
      </c>
      <c r="I21" s="255">
        <v>60</v>
      </c>
      <c r="J21" s="177">
        <f t="shared" si="2"/>
        <v>600</v>
      </c>
      <c r="K21" s="173">
        <f t="shared" si="0"/>
        <v>0.0346</v>
      </c>
      <c r="L21" s="354"/>
      <c r="N21" s="178"/>
    </row>
    <row r="22" spans="1:12" ht="12.75">
      <c r="A22" s="769">
        <f>240*2</f>
        <v>480</v>
      </c>
      <c r="B22" s="12" t="s">
        <v>202</v>
      </c>
      <c r="C22" s="770">
        <v>12</v>
      </c>
      <c r="D22" s="12" t="s">
        <v>87</v>
      </c>
      <c r="E22" s="159">
        <f>E21</f>
        <v>1</v>
      </c>
      <c r="F22" s="153" t="s">
        <v>132</v>
      </c>
      <c r="G22" s="153" t="s">
        <v>270</v>
      </c>
      <c r="H22" s="367">
        <f t="shared" si="1"/>
        <v>40</v>
      </c>
      <c r="I22" s="255">
        <v>1.4</v>
      </c>
      <c r="J22" s="177">
        <f t="shared" si="2"/>
        <v>56</v>
      </c>
      <c r="K22" s="173">
        <f t="shared" si="0"/>
        <v>0.0032</v>
      </c>
      <c r="L22" s="354"/>
    </row>
    <row r="23" spans="1:12" ht="12.75">
      <c r="A23" s="766">
        <v>12</v>
      </c>
      <c r="B23" s="12" t="s">
        <v>202</v>
      </c>
      <c r="C23" s="770">
        <v>1</v>
      </c>
      <c r="D23" s="12" t="s">
        <v>87</v>
      </c>
      <c r="E23" s="159">
        <f>E19</f>
        <v>1</v>
      </c>
      <c r="F23" s="153" t="s">
        <v>203</v>
      </c>
      <c r="G23" s="153" t="s">
        <v>478</v>
      </c>
      <c r="H23" s="367">
        <f t="shared" si="1"/>
        <v>12</v>
      </c>
      <c r="I23" s="255">
        <v>73.5</v>
      </c>
      <c r="J23" s="177">
        <f t="shared" si="2"/>
        <v>882</v>
      </c>
      <c r="K23" s="173">
        <f t="shared" si="0"/>
        <v>0.0508</v>
      </c>
      <c r="L23" s="354"/>
    </row>
    <row r="24" spans="1:12" ht="12.75">
      <c r="A24" s="769">
        <v>80</v>
      </c>
      <c r="B24" s="12" t="s">
        <v>202</v>
      </c>
      <c r="C24" s="770">
        <v>1</v>
      </c>
      <c r="D24" s="12" t="s">
        <v>87</v>
      </c>
      <c r="E24" s="159">
        <v>1</v>
      </c>
      <c r="F24" s="153" t="s">
        <v>206</v>
      </c>
      <c r="G24" s="153" t="s">
        <v>271</v>
      </c>
      <c r="H24" s="367">
        <f t="shared" si="1"/>
        <v>80</v>
      </c>
      <c r="I24" s="255">
        <v>2.1</v>
      </c>
      <c r="J24" s="177">
        <f t="shared" si="2"/>
        <v>168</v>
      </c>
      <c r="K24" s="173">
        <f t="shared" si="0"/>
        <v>0.0097</v>
      </c>
      <c r="L24" s="354"/>
    </row>
    <row r="25" spans="1:12" ht="12.75">
      <c r="A25" s="769">
        <v>2</v>
      </c>
      <c r="B25" s="12" t="s">
        <v>263</v>
      </c>
      <c r="C25" s="770">
        <v>1</v>
      </c>
      <c r="D25" s="12" t="s">
        <v>87</v>
      </c>
      <c r="E25" s="159">
        <v>1</v>
      </c>
      <c r="F25" s="153" t="s">
        <v>208</v>
      </c>
      <c r="G25" s="153" t="s">
        <v>468</v>
      </c>
      <c r="H25" s="367">
        <f>A25/C25</f>
        <v>2</v>
      </c>
      <c r="I25" s="255">
        <v>90</v>
      </c>
      <c r="J25" s="177">
        <f>(+I25*H25)</f>
        <v>180</v>
      </c>
      <c r="K25" s="173">
        <f t="shared" si="0"/>
        <v>0.0104</v>
      </c>
      <c r="L25" s="354"/>
    </row>
    <row r="26" spans="1:12" ht="12.75">
      <c r="A26" s="769">
        <v>2</v>
      </c>
      <c r="B26" s="12" t="s">
        <v>263</v>
      </c>
      <c r="C26" s="770">
        <v>1</v>
      </c>
      <c r="D26" s="12" t="s">
        <v>87</v>
      </c>
      <c r="E26" s="159">
        <v>1</v>
      </c>
      <c r="F26" s="153" t="s">
        <v>210</v>
      </c>
      <c r="G26" s="153" t="s">
        <v>469</v>
      </c>
      <c r="H26" s="367">
        <f>A26/C26</f>
        <v>2</v>
      </c>
      <c r="I26" s="255">
        <v>90</v>
      </c>
      <c r="J26" s="177">
        <f>(+I26*H26)</f>
        <v>180</v>
      </c>
      <c r="K26" s="173">
        <f t="shared" si="0"/>
        <v>0.0104</v>
      </c>
      <c r="L26" s="354"/>
    </row>
    <row r="27" spans="1:12" ht="12.75">
      <c r="A27" s="769">
        <v>2</v>
      </c>
      <c r="B27" s="12" t="s">
        <v>263</v>
      </c>
      <c r="C27" s="770">
        <v>1</v>
      </c>
      <c r="D27" s="12" t="s">
        <v>87</v>
      </c>
      <c r="E27" s="159">
        <v>1</v>
      </c>
      <c r="F27" s="153" t="s">
        <v>212</v>
      </c>
      <c r="G27" s="153" t="s">
        <v>272</v>
      </c>
      <c r="H27" s="367">
        <f t="shared" si="1"/>
        <v>2</v>
      </c>
      <c r="I27" s="255">
        <v>143.44</v>
      </c>
      <c r="J27" s="177">
        <f t="shared" si="2"/>
        <v>286.88</v>
      </c>
      <c r="K27" s="173">
        <f t="shared" si="0"/>
        <v>0.0165</v>
      </c>
      <c r="L27" s="354"/>
    </row>
    <row r="28" spans="1:12" ht="12.75">
      <c r="A28" s="766">
        <f>6*3</f>
        <v>18</v>
      </c>
      <c r="B28" s="12" t="s">
        <v>484</v>
      </c>
      <c r="C28" s="770">
        <v>1</v>
      </c>
      <c r="D28" s="12" t="s">
        <v>87</v>
      </c>
      <c r="E28" s="159">
        <f>E24</f>
        <v>1</v>
      </c>
      <c r="F28" s="153" t="s">
        <v>214</v>
      </c>
      <c r="G28" s="153" t="s">
        <v>483</v>
      </c>
      <c r="H28" s="367">
        <f>A28/C28</f>
        <v>18</v>
      </c>
      <c r="I28" s="255">
        <v>32.5</v>
      </c>
      <c r="J28" s="177">
        <f>(+I28*H28)</f>
        <v>585</v>
      </c>
      <c r="K28" s="173"/>
      <c r="L28" s="354"/>
    </row>
    <row r="29" spans="1:12" ht="12.75">
      <c r="A29" s="766">
        <v>50</v>
      </c>
      <c r="B29" s="12" t="s">
        <v>218</v>
      </c>
      <c r="C29" s="770">
        <v>1</v>
      </c>
      <c r="D29" s="12" t="s">
        <v>87</v>
      </c>
      <c r="E29" s="159">
        <f>E25</f>
        <v>1</v>
      </c>
      <c r="F29" s="153" t="s">
        <v>216</v>
      </c>
      <c r="G29" s="153" t="s">
        <v>485</v>
      </c>
      <c r="H29" s="367">
        <f>A29/C29</f>
        <v>50</v>
      </c>
      <c r="I29" s="255">
        <v>7.5</v>
      </c>
      <c r="J29" s="177">
        <f>(+I29*H29)</f>
        <v>375</v>
      </c>
      <c r="K29" s="173"/>
      <c r="L29" s="354"/>
    </row>
    <row r="30" spans="1:12" ht="12.75">
      <c r="A30" s="769">
        <v>1</v>
      </c>
      <c r="B30" s="12" t="s">
        <v>202</v>
      </c>
      <c r="C30" s="770">
        <v>60</v>
      </c>
      <c r="D30" s="12" t="s">
        <v>87</v>
      </c>
      <c r="E30" s="175">
        <f>E32</f>
        <v>1</v>
      </c>
      <c r="F30" s="153" t="s">
        <v>284</v>
      </c>
      <c r="G30" s="170" t="s">
        <v>249</v>
      </c>
      <c r="H30" s="199">
        <f>E30</f>
        <v>1</v>
      </c>
      <c r="I30" s="350">
        <v>1999.33</v>
      </c>
      <c r="J30" s="177">
        <f>(+I30/C30)*H30</f>
        <v>33.32</v>
      </c>
      <c r="K30" s="173">
        <f t="shared" si="0"/>
        <v>0.0019</v>
      </c>
      <c r="L30" s="354"/>
    </row>
    <row r="31" spans="1:12" ht="12.75">
      <c r="A31" s="760">
        <v>3</v>
      </c>
      <c r="B31" s="168" t="s">
        <v>198</v>
      </c>
      <c r="C31" s="770">
        <v>1</v>
      </c>
      <c r="D31" s="12" t="s">
        <v>87</v>
      </c>
      <c r="E31" s="159">
        <f>E30</f>
        <v>1</v>
      </c>
      <c r="F31" s="153" t="s">
        <v>285</v>
      </c>
      <c r="G31" s="116" t="s">
        <v>505</v>
      </c>
      <c r="H31" s="199">
        <f>A31/100</f>
        <v>0.03</v>
      </c>
      <c r="I31" s="755">
        <f>I30</f>
        <v>1999.33</v>
      </c>
      <c r="J31" s="177">
        <f>H31*I31*E31</f>
        <v>59.98</v>
      </c>
      <c r="K31" s="173">
        <f t="shared" si="0"/>
        <v>0.0035</v>
      </c>
      <c r="L31" s="354"/>
    </row>
    <row r="32" spans="1:12" ht="12.75">
      <c r="A32" s="176">
        <v>1</v>
      </c>
      <c r="B32" s="12" t="s">
        <v>97</v>
      </c>
      <c r="C32" s="770">
        <v>1</v>
      </c>
      <c r="D32" s="12" t="s">
        <v>250</v>
      </c>
      <c r="E32" s="159">
        <v>1</v>
      </c>
      <c r="F32" s="153" t="s">
        <v>287</v>
      </c>
      <c r="G32" s="116" t="s">
        <v>251</v>
      </c>
      <c r="H32" s="368">
        <f>(+A32/C32)</f>
        <v>1</v>
      </c>
      <c r="I32" s="255">
        <v>3.18</v>
      </c>
      <c r="J32" s="177"/>
      <c r="K32" s="173"/>
      <c r="L32" s="354"/>
    </row>
    <row r="33" spans="1:12" ht="12.75">
      <c r="A33" s="176">
        <v>11</v>
      </c>
      <c r="B33" s="12" t="s">
        <v>252</v>
      </c>
      <c r="C33" s="770">
        <v>8</v>
      </c>
      <c r="D33" s="12" t="s">
        <v>250</v>
      </c>
      <c r="E33" s="159">
        <v>1</v>
      </c>
      <c r="F33" s="153" t="s">
        <v>288</v>
      </c>
      <c r="G33" s="116" t="s">
        <v>253</v>
      </c>
      <c r="H33" s="367">
        <f>(+A33*C33)</f>
        <v>88</v>
      </c>
      <c r="I33" s="255">
        <v>3.18</v>
      </c>
      <c r="J33" s="177">
        <f>(+I33*H33)*E33</f>
        <v>279.84</v>
      </c>
      <c r="K33" s="173">
        <f>J33/J$63</f>
        <v>0.0161</v>
      </c>
      <c r="L33" s="354"/>
    </row>
    <row r="34" spans="1:12" ht="12.75">
      <c r="A34" s="167">
        <v>1</v>
      </c>
      <c r="B34" s="12" t="s">
        <v>202</v>
      </c>
      <c r="C34" s="770">
        <v>48</v>
      </c>
      <c r="D34" s="12" t="s">
        <v>87</v>
      </c>
      <c r="E34" s="159">
        <f>E24</f>
        <v>1</v>
      </c>
      <c r="F34" s="170" t="s">
        <v>289</v>
      </c>
      <c r="G34" s="153" t="s">
        <v>414</v>
      </c>
      <c r="H34" s="367">
        <f>A34/C34</f>
        <v>0.02083</v>
      </c>
      <c r="I34" s="255">
        <f>3586.8*2.7229</f>
        <v>9766.5</v>
      </c>
      <c r="J34" s="177">
        <f>(+I34*H34)</f>
        <v>203.44</v>
      </c>
      <c r="K34" s="173">
        <f>J34/J$63</f>
        <v>0.0117</v>
      </c>
      <c r="L34" s="354"/>
    </row>
    <row r="35" spans="1:12" ht="12.75">
      <c r="A35" s="167">
        <v>1</v>
      </c>
      <c r="B35" s="12" t="s">
        <v>202</v>
      </c>
      <c r="C35" s="770">
        <v>3</v>
      </c>
      <c r="D35" s="12" t="s">
        <v>87</v>
      </c>
      <c r="E35" s="159">
        <f>E25</f>
        <v>1</v>
      </c>
      <c r="F35" s="153" t="s">
        <v>290</v>
      </c>
      <c r="G35" s="153" t="s">
        <v>474</v>
      </c>
      <c r="H35" s="367">
        <f>A35/C35</f>
        <v>0.33333</v>
      </c>
      <c r="I35" s="255">
        <v>1500</v>
      </c>
      <c r="J35" s="177">
        <f>(+I35*H35)</f>
        <v>500</v>
      </c>
      <c r="K35" s="173">
        <f>J35/J$63</f>
        <v>0.0288</v>
      </c>
      <c r="L35" s="354"/>
    </row>
    <row r="36" spans="1:12" ht="12.75">
      <c r="A36" s="167">
        <v>1</v>
      </c>
      <c r="B36" s="12" t="s">
        <v>202</v>
      </c>
      <c r="C36" s="771">
        <v>1</v>
      </c>
      <c r="D36" s="12" t="s">
        <v>87</v>
      </c>
      <c r="E36" s="159">
        <f>E26</f>
        <v>1</v>
      </c>
      <c r="F36" s="170" t="s">
        <v>291</v>
      </c>
      <c r="G36" s="153" t="s">
        <v>477</v>
      </c>
      <c r="H36" s="367">
        <f>A36/C36</f>
        <v>1</v>
      </c>
      <c r="I36" s="255">
        <v>3000</v>
      </c>
      <c r="J36" s="177">
        <f>(+I36*H36)</f>
        <v>3000</v>
      </c>
      <c r="K36" s="173">
        <f>J36/J$63</f>
        <v>0.1728</v>
      </c>
      <c r="L36" s="354"/>
    </row>
    <row r="37" spans="1:12" ht="12.75">
      <c r="A37" s="167">
        <v>1</v>
      </c>
      <c r="B37" s="12" t="s">
        <v>202</v>
      </c>
      <c r="C37" s="771">
        <v>12</v>
      </c>
      <c r="D37" s="12" t="s">
        <v>87</v>
      </c>
      <c r="E37" s="159">
        <f>E27</f>
        <v>1</v>
      </c>
      <c r="F37" s="170" t="s">
        <v>292</v>
      </c>
      <c r="G37" s="153" t="s">
        <v>479</v>
      </c>
      <c r="H37" s="763">
        <f>A37/C37</f>
        <v>0.0833333</v>
      </c>
      <c r="I37" s="255">
        <v>14000</v>
      </c>
      <c r="J37" s="177">
        <f>(+I37*H37)</f>
        <v>1166.67</v>
      </c>
      <c r="K37" s="173">
        <f>J37/J$63</f>
        <v>0.0672</v>
      </c>
      <c r="L37" s="354"/>
    </row>
    <row r="38" spans="1:12" ht="12.75">
      <c r="A38" s="167"/>
      <c r="B38" s="12"/>
      <c r="C38" s="159"/>
      <c r="D38" s="12"/>
      <c r="E38" s="159"/>
      <c r="F38" s="153"/>
      <c r="G38" s="226"/>
      <c r="H38" s="757"/>
      <c r="I38" s="127"/>
      <c r="J38" s="380"/>
      <c r="K38" s="173"/>
      <c r="L38" s="354"/>
    </row>
    <row r="39" spans="1:12" ht="12.75">
      <c r="A39" s="174"/>
      <c r="B39" s="148"/>
      <c r="C39" s="161"/>
      <c r="D39" s="148"/>
      <c r="E39" s="148"/>
      <c r="F39" s="170" t="s">
        <v>293</v>
      </c>
      <c r="G39" s="156" t="s">
        <v>445</v>
      </c>
      <c r="H39" s="749"/>
      <c r="I39" s="127"/>
      <c r="J39" s="380">
        <f>SUM(J15:J37)</f>
        <v>13449.07</v>
      </c>
      <c r="K39" s="173"/>
      <c r="L39" s="354"/>
    </row>
    <row r="40" spans="1:12" ht="12.75">
      <c r="A40" s="174"/>
      <c r="B40" s="148"/>
      <c r="C40" s="161"/>
      <c r="D40" s="148"/>
      <c r="E40" s="424"/>
      <c r="F40" s="170"/>
      <c r="G40" s="752"/>
      <c r="H40" s="753"/>
      <c r="I40" s="751"/>
      <c r="J40" s="750"/>
      <c r="K40" s="173"/>
      <c r="L40" s="354"/>
    </row>
    <row r="41" spans="1:12" ht="12.75">
      <c r="A41" s="760">
        <v>3.5</v>
      </c>
      <c r="B41" s="168" t="s">
        <v>198</v>
      </c>
      <c r="C41" s="161"/>
      <c r="D41" s="12"/>
      <c r="E41" s="424"/>
      <c r="F41" s="170" t="s">
        <v>486</v>
      </c>
      <c r="G41" s="226" t="s">
        <v>448</v>
      </c>
      <c r="H41" s="186">
        <f>A41/100</f>
        <v>0.035</v>
      </c>
      <c r="I41" s="246">
        <f>J39</f>
        <v>13449.07</v>
      </c>
      <c r="J41" s="172">
        <f>H41*I41</f>
        <v>470.72</v>
      </c>
      <c r="K41" s="173">
        <f>J41/J$63</f>
        <v>0.0271</v>
      </c>
      <c r="L41" s="354"/>
    </row>
    <row r="42" spans="1:12" ht="12.75">
      <c r="A42" s="152"/>
      <c r="B42" s="148"/>
      <c r="C42" s="179"/>
      <c r="D42" s="148"/>
      <c r="E42" s="148"/>
      <c r="F42" s="148"/>
      <c r="G42" s="148"/>
      <c r="H42" s="148"/>
      <c r="I42" s="179"/>
      <c r="J42" s="187"/>
      <c r="K42" s="356"/>
      <c r="L42" s="354"/>
    </row>
    <row r="43" spans="1:12" ht="12.75">
      <c r="A43" s="141"/>
      <c r="B43" s="142"/>
      <c r="C43" s="144"/>
      <c r="D43" s="142"/>
      <c r="E43" s="142"/>
      <c r="F43" s="223" t="s">
        <v>294</v>
      </c>
      <c r="G43" s="218" t="s">
        <v>487</v>
      </c>
      <c r="H43" s="224"/>
      <c r="I43" s="224"/>
      <c r="J43" s="225">
        <f>SUM(J39:J41)</f>
        <v>13919.79</v>
      </c>
      <c r="K43" s="196">
        <f>J43/J$63</f>
        <v>0.8017</v>
      </c>
      <c r="L43" s="354"/>
    </row>
    <row r="44" spans="1:12" ht="12.75">
      <c r="A44" s="197"/>
      <c r="B44" s="113"/>
      <c r="C44" s="113"/>
      <c r="D44" s="113"/>
      <c r="E44" s="113"/>
      <c r="F44" s="154"/>
      <c r="G44" s="154"/>
      <c r="H44" s="154"/>
      <c r="I44" s="154"/>
      <c r="J44" s="127"/>
      <c r="K44" s="228"/>
      <c r="L44" s="354"/>
    </row>
    <row r="45" spans="1:12" ht="20.25">
      <c r="A45" s="229" t="s">
        <v>136</v>
      </c>
      <c r="B45" s="230"/>
      <c r="C45" s="230"/>
      <c r="D45" s="230"/>
      <c r="E45" s="230"/>
      <c r="F45" s="230"/>
      <c r="G45" s="230"/>
      <c r="H45" s="230"/>
      <c r="I45" s="230"/>
      <c r="J45" s="230"/>
      <c r="K45" s="192"/>
      <c r="L45" s="354"/>
    </row>
    <row r="46" spans="1:12" ht="20.25">
      <c r="A46" s="197"/>
      <c r="B46" s="113"/>
      <c r="C46" s="113"/>
      <c r="D46" s="113"/>
      <c r="E46" s="113"/>
      <c r="F46" s="113"/>
      <c r="G46" s="155"/>
      <c r="H46" s="113"/>
      <c r="I46" s="113"/>
      <c r="J46" s="113"/>
      <c r="K46" s="97"/>
      <c r="L46" s="354"/>
    </row>
    <row r="47" spans="1:12" ht="12.75">
      <c r="A47" s="188"/>
      <c r="B47" s="134"/>
      <c r="C47" s="133"/>
      <c r="D47" s="133"/>
      <c r="E47" s="133"/>
      <c r="F47" s="231"/>
      <c r="G47" s="182"/>
      <c r="H47" s="15"/>
      <c r="I47" s="135" t="s">
        <v>64</v>
      </c>
      <c r="J47" s="136"/>
      <c r="K47" s="117"/>
      <c r="L47" s="354"/>
    </row>
    <row r="48" spans="1:12" ht="12.75">
      <c r="A48" s="197"/>
      <c r="B48" s="233"/>
      <c r="C48" s="12" t="s">
        <v>75</v>
      </c>
      <c r="D48" s="12" t="s">
        <v>67</v>
      </c>
      <c r="E48" s="12" t="s">
        <v>69</v>
      </c>
      <c r="F48" s="815" t="s">
        <v>70</v>
      </c>
      <c r="G48" s="816"/>
      <c r="H48" s="12" t="s">
        <v>71</v>
      </c>
      <c r="I48" s="12" t="s">
        <v>72</v>
      </c>
      <c r="J48" s="138" t="s">
        <v>73</v>
      </c>
      <c r="K48" s="117"/>
      <c r="L48" s="354"/>
    </row>
    <row r="49" spans="1:15" ht="12.75">
      <c r="A49" s="197"/>
      <c r="B49" s="233"/>
      <c r="C49" s="142"/>
      <c r="D49" s="142"/>
      <c r="E49" s="142"/>
      <c r="F49" s="145"/>
      <c r="G49" s="126"/>
      <c r="H49" s="150"/>
      <c r="I49" s="144" t="s">
        <v>74</v>
      </c>
      <c r="J49" s="145"/>
      <c r="K49" s="234"/>
      <c r="L49" s="354"/>
      <c r="O49" s="178"/>
    </row>
    <row r="50" spans="1:12" ht="12.75">
      <c r="A50" s="197"/>
      <c r="B50" s="233"/>
      <c r="C50" s="148"/>
      <c r="D50" s="148"/>
      <c r="E50" s="153" t="s">
        <v>146</v>
      </c>
      <c r="F50" s="181" t="s">
        <v>488</v>
      </c>
      <c r="G50" s="106"/>
      <c r="H50" s="235"/>
      <c r="I50" s="161">
        <f>J43</f>
        <v>13919.79</v>
      </c>
      <c r="J50" s="236">
        <f>J43</f>
        <v>13919.79</v>
      </c>
      <c r="K50" s="117"/>
      <c r="L50" s="354"/>
    </row>
    <row r="51" spans="1:12" ht="12.75">
      <c r="A51" s="197"/>
      <c r="B51" s="233"/>
      <c r="C51" s="706"/>
      <c r="D51" s="12"/>
      <c r="E51" s="153"/>
      <c r="F51" s="226"/>
      <c r="G51" s="227"/>
      <c r="H51" s="160"/>
      <c r="I51" s="179"/>
      <c r="J51" s="177"/>
      <c r="K51" s="173"/>
      <c r="L51" s="354"/>
    </row>
    <row r="52" spans="1:12" ht="12.75">
      <c r="A52" s="197"/>
      <c r="B52" s="233"/>
      <c r="C52" s="237">
        <v>5.5</v>
      </c>
      <c r="D52" s="12" t="s">
        <v>51</v>
      </c>
      <c r="E52" s="153" t="s">
        <v>149</v>
      </c>
      <c r="F52" s="226" t="s">
        <v>138</v>
      </c>
      <c r="G52" s="227"/>
      <c r="H52" s="160">
        <f>(C52/100)</f>
        <v>0.055</v>
      </c>
      <c r="I52" s="179"/>
      <c r="J52" s="177">
        <f>(+J50*H52)</f>
        <v>765.59</v>
      </c>
      <c r="K52" s="173">
        <f>J52/J$63</f>
        <v>0.0441</v>
      </c>
      <c r="L52" s="354"/>
    </row>
    <row r="53" spans="1:12" ht="12.75">
      <c r="A53" s="197"/>
      <c r="B53" s="233"/>
      <c r="C53" s="161" t="s">
        <v>139</v>
      </c>
      <c r="D53" s="148"/>
      <c r="E53" s="148"/>
      <c r="F53" s="156"/>
      <c r="G53" s="113"/>
      <c r="H53" s="160"/>
      <c r="I53" s="161"/>
      <c r="J53" s="177"/>
      <c r="K53" s="238"/>
      <c r="L53" s="354"/>
    </row>
    <row r="54" spans="1:12" ht="12.75">
      <c r="A54" s="197"/>
      <c r="B54" s="233"/>
      <c r="C54" s="245"/>
      <c r="D54" s="148"/>
      <c r="E54" s="153" t="s">
        <v>152</v>
      </c>
      <c r="F54" s="226" t="s">
        <v>424</v>
      </c>
      <c r="G54" s="113"/>
      <c r="H54" s="160"/>
      <c r="I54" s="179"/>
      <c r="J54" s="177">
        <f>SUM(J50:J52)</f>
        <v>14685.38</v>
      </c>
      <c r="K54" s="173"/>
      <c r="L54" s="354"/>
    </row>
    <row r="55" spans="1:12" ht="12.75">
      <c r="A55" s="197"/>
      <c r="B55" s="233"/>
      <c r="C55" s="161">
        <v>0</v>
      </c>
      <c r="D55" s="12" t="s">
        <v>51</v>
      </c>
      <c r="E55" s="153" t="s">
        <v>154</v>
      </c>
      <c r="F55" s="226" t="s">
        <v>142</v>
      </c>
      <c r="G55" s="227"/>
      <c r="H55" s="160">
        <f>(C55/100)</f>
        <v>0</v>
      </c>
      <c r="I55" s="246">
        <f>J54</f>
        <v>14685.38</v>
      </c>
      <c r="J55" s="177">
        <f>(+J54*H55)</f>
        <v>0</v>
      </c>
      <c r="K55" s="173">
        <f>J55/J$63</f>
        <v>0</v>
      </c>
      <c r="L55" s="354"/>
    </row>
    <row r="56" spans="1:12" ht="12.75">
      <c r="A56" s="197"/>
      <c r="B56" s="233"/>
      <c r="C56" s="161" t="s">
        <v>139</v>
      </c>
      <c r="D56" s="148"/>
      <c r="E56" s="148"/>
      <c r="F56" s="156"/>
      <c r="G56" s="113"/>
      <c r="H56" s="160"/>
      <c r="I56" s="161"/>
      <c r="J56" s="177"/>
      <c r="K56" s="238"/>
      <c r="L56" s="354"/>
    </row>
    <row r="57" spans="1:12" ht="12.75">
      <c r="A57" s="197"/>
      <c r="B57" s="233"/>
      <c r="C57" s="161" t="s">
        <v>139</v>
      </c>
      <c r="D57" s="148"/>
      <c r="E57" s="153" t="s">
        <v>155</v>
      </c>
      <c r="F57" s="226" t="s">
        <v>425</v>
      </c>
      <c r="G57" s="113"/>
      <c r="H57" s="160"/>
      <c r="I57" s="179"/>
      <c r="J57" s="177">
        <f>SUM(J54:J55)</f>
        <v>14685.38</v>
      </c>
      <c r="K57" s="238"/>
      <c r="L57" s="354"/>
    </row>
    <row r="58" spans="1:12" ht="12.75">
      <c r="A58" s="197"/>
      <c r="B58" s="233"/>
      <c r="C58" s="237">
        <v>9</v>
      </c>
      <c r="D58" s="12" t="s">
        <v>51</v>
      </c>
      <c r="E58" s="153" t="s">
        <v>156</v>
      </c>
      <c r="F58" s="226" t="s">
        <v>427</v>
      </c>
      <c r="G58" s="227"/>
      <c r="H58" s="160">
        <f>(C58/100)</f>
        <v>0.09</v>
      </c>
      <c r="I58" s="246">
        <f>J57</f>
        <v>14685.38</v>
      </c>
      <c r="J58" s="177">
        <f>(+J57*H58)</f>
        <v>1321.68</v>
      </c>
      <c r="K58" s="173">
        <f>J58/J$63</f>
        <v>0.0761</v>
      </c>
      <c r="L58" s="354"/>
    </row>
    <row r="59" spans="1:12" ht="12.75">
      <c r="A59" s="197"/>
      <c r="B59" s="233"/>
      <c r="C59" s="161" t="s">
        <v>139</v>
      </c>
      <c r="D59" s="148"/>
      <c r="E59" s="148"/>
      <c r="F59" s="156"/>
      <c r="G59" s="113"/>
      <c r="H59" s="160"/>
      <c r="I59" s="179"/>
      <c r="J59" s="177"/>
      <c r="K59" s="238"/>
      <c r="L59" s="354"/>
    </row>
    <row r="60" spans="1:12" ht="12.75">
      <c r="A60" s="197"/>
      <c r="B60" s="233"/>
      <c r="C60" s="161" t="s">
        <v>139</v>
      </c>
      <c r="D60" s="148"/>
      <c r="E60" s="153" t="s">
        <v>158</v>
      </c>
      <c r="F60" s="226" t="s">
        <v>162</v>
      </c>
      <c r="G60" s="113"/>
      <c r="H60" s="160"/>
      <c r="I60" s="179"/>
      <c r="J60" s="177">
        <f>SUM(J57:J58)</f>
        <v>16007.06</v>
      </c>
      <c r="K60" s="238"/>
      <c r="L60" s="354"/>
    </row>
    <row r="61" spans="1:12" ht="12.75">
      <c r="A61" s="197"/>
      <c r="B61" s="233"/>
      <c r="C61" s="255">
        <f>(15%*C58)+(9%*C58)+3.65+2</f>
        <v>7.81</v>
      </c>
      <c r="D61" s="12" t="s">
        <v>51</v>
      </c>
      <c r="E61" s="153" t="s">
        <v>165</v>
      </c>
      <c r="F61" s="226" t="s">
        <v>151</v>
      </c>
      <c r="G61" s="227"/>
      <c r="H61" s="160">
        <f>(C61/100)</f>
        <v>0.0781</v>
      </c>
      <c r="I61" s="179"/>
      <c r="J61" s="177">
        <f>(+J63*H61)</f>
        <v>1356.06</v>
      </c>
      <c r="K61" s="173">
        <f>J61/J$63</f>
        <v>0.0781</v>
      </c>
      <c r="L61" s="354"/>
    </row>
    <row r="62" spans="1:12" ht="12.75">
      <c r="A62" s="197"/>
      <c r="B62" s="233"/>
      <c r="C62" s="161" t="s">
        <v>139</v>
      </c>
      <c r="D62" s="148"/>
      <c r="E62" s="148"/>
      <c r="F62" s="156"/>
      <c r="G62" s="113"/>
      <c r="H62" s="179"/>
      <c r="I62" s="179"/>
      <c r="J62" s="177"/>
      <c r="K62" s="238"/>
      <c r="L62" s="354"/>
    </row>
    <row r="63" spans="1:12" ht="16.5" thickBot="1">
      <c r="A63" s="260"/>
      <c r="B63" s="261"/>
      <c r="C63" s="262" t="s">
        <v>139</v>
      </c>
      <c r="D63" s="263"/>
      <c r="E63" s="264" t="s">
        <v>161</v>
      </c>
      <c r="F63" s="265" t="s">
        <v>426</v>
      </c>
      <c r="G63" s="266"/>
      <c r="H63" s="266"/>
      <c r="I63" s="266"/>
      <c r="J63" s="357">
        <f>J60/(1-H61)</f>
        <v>17363.12</v>
      </c>
      <c r="K63" s="268">
        <f>J63/J$63</f>
        <v>1</v>
      </c>
      <c r="L63" s="354"/>
    </row>
    <row r="65" ht="15.75">
      <c r="A65" s="69" t="s">
        <v>169</v>
      </c>
    </row>
    <row r="67" spans="1:7" ht="15.75">
      <c r="A67" s="69" t="str">
        <f>'Trator de Esteira'!A61</f>
        <v>Patos de Minas-MG, 16 de Novembro de 2015.</v>
      </c>
      <c r="G67" s="13"/>
    </row>
    <row r="68" spans="7:9" ht="15">
      <c r="G68" s="11"/>
      <c r="H68" s="11"/>
      <c r="I68" s="11"/>
    </row>
    <row r="69" spans="1:10" ht="12">
      <c r="A69" s="275"/>
      <c r="B69" s="275"/>
      <c r="C69" s="275"/>
      <c r="D69" s="275"/>
      <c r="E69" s="275"/>
      <c r="F69" s="275"/>
      <c r="G69" s="275"/>
      <c r="H69" s="275"/>
      <c r="I69" s="275"/>
      <c r="J69" s="275"/>
    </row>
    <row r="73" ht="12">
      <c r="C73" s="358"/>
    </row>
    <row r="93" ht="2.25" customHeight="1"/>
    <row r="94" ht="12.75" customHeight="1"/>
    <row r="95" ht="0.75" customHeight="1"/>
    <row r="120" ht="12.75">
      <c r="L120" s="276"/>
    </row>
    <row r="121" ht="12.75">
      <c r="L121" s="276"/>
    </row>
    <row r="122" ht="12.75">
      <c r="L122" s="276"/>
    </row>
    <row r="123" ht="12.75">
      <c r="L123" s="276"/>
    </row>
    <row r="124" ht="12.75">
      <c r="L124" s="2"/>
    </row>
    <row r="125" spans="1:11" ht="12.75">
      <c r="A125" s="276"/>
      <c r="B125" s="276"/>
      <c r="C125" s="276"/>
      <c r="D125" s="276"/>
      <c r="E125" s="280"/>
      <c r="F125" s="280"/>
      <c r="G125" s="280"/>
      <c r="H125" s="280"/>
      <c r="I125" s="280"/>
      <c r="J125" s="280"/>
      <c r="K125" s="280"/>
    </row>
    <row r="126" spans="1:12" ht="12.75">
      <c r="A126" s="276"/>
      <c r="B126" s="276"/>
      <c r="C126" s="276"/>
      <c r="D126" s="276"/>
      <c r="E126" s="276"/>
      <c r="F126" s="276"/>
      <c r="G126" s="276"/>
      <c r="H126" s="276"/>
      <c r="I126" s="276"/>
      <c r="J126" s="281"/>
      <c r="K126" s="281"/>
      <c r="L126" s="178"/>
    </row>
    <row r="127" spans="1:11" ht="12.7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</row>
    <row r="128" spans="1:11" ht="12.7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</row>
    <row r="129" spans="1:11" ht="12.7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</row>
    <row r="130" spans="1:11" ht="12.7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</row>
    <row r="131" spans="1:12" ht="12.75">
      <c r="A131" s="2"/>
      <c r="B131" s="2"/>
      <c r="C131" s="2"/>
      <c r="D131" s="2"/>
      <c r="E131" s="282"/>
      <c r="F131" s="2"/>
      <c r="G131" s="2"/>
      <c r="H131" s="2"/>
      <c r="I131" s="2"/>
      <c r="J131" s="2"/>
      <c r="K131" s="2"/>
      <c r="L131" s="4"/>
    </row>
    <row r="132" spans="1:12" ht="12.75">
      <c r="A132" s="2"/>
      <c r="B132" s="2"/>
      <c r="C132" s="2"/>
      <c r="D132" s="2"/>
      <c r="E132" s="283"/>
      <c r="F132" s="283"/>
      <c r="G132" s="283"/>
      <c r="H132" s="283"/>
      <c r="I132" s="2"/>
      <c r="J132" s="2"/>
      <c r="K132" s="2"/>
      <c r="L132" s="4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"/>
    </row>
    <row r="134" spans="1:12" ht="12.75">
      <c r="A134" s="283"/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4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4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4"/>
    </row>
    <row r="137" spans="1:12" ht="12.75">
      <c r="A137" s="2"/>
      <c r="B137" s="5"/>
      <c r="C137" s="2"/>
      <c r="D137" s="279"/>
      <c r="E137" s="2"/>
      <c r="F137" s="2"/>
      <c r="G137" s="2"/>
      <c r="H137" s="2"/>
      <c r="I137" s="2"/>
      <c r="J137" s="2"/>
      <c r="K137" s="2"/>
      <c r="L137" s="4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4"/>
    </row>
    <row r="140" spans="1:12" ht="12.75">
      <c r="A140" s="2"/>
      <c r="B140" s="5"/>
      <c r="C140" s="2"/>
      <c r="D140" s="279"/>
      <c r="E140" s="2"/>
      <c r="F140" s="2"/>
      <c r="G140" s="2"/>
      <c r="H140" s="2"/>
      <c r="I140" s="2"/>
      <c r="J140" s="2"/>
      <c r="K140" s="2"/>
      <c r="L140" s="4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4"/>
    </row>
    <row r="142" spans="1:12" ht="1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">
      <c r="A143" s="4"/>
      <c r="B143" s="6"/>
      <c r="C143" s="4"/>
      <c r="D143" s="284"/>
      <c r="E143" s="4"/>
      <c r="F143" s="4"/>
      <c r="G143" s="4"/>
      <c r="H143" s="4"/>
      <c r="I143" s="4"/>
      <c r="J143" s="4"/>
      <c r="K143" s="4"/>
      <c r="L143" s="4"/>
    </row>
    <row r="144" spans="1:12" ht="1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4"/>
    </row>
    <row r="147" spans="1:12" ht="12">
      <c r="A147" s="4"/>
      <c r="B147" s="4"/>
      <c r="C147" s="6"/>
      <c r="D147" s="4"/>
      <c r="E147" s="4"/>
      <c r="F147" s="4"/>
      <c r="G147" s="285"/>
      <c r="H147" s="285"/>
      <c r="L147" s="4"/>
    </row>
    <row r="148" spans="1:12" ht="12">
      <c r="A148" s="7"/>
      <c r="B148" s="7"/>
      <c r="C148" s="7"/>
      <c r="D148" s="7"/>
      <c r="E148" s="7"/>
      <c r="F148" s="7"/>
      <c r="G148" s="7"/>
      <c r="H148" s="7"/>
      <c r="L148" s="4"/>
    </row>
    <row r="149" spans="1:12" ht="12">
      <c r="A149" s="4"/>
      <c r="B149" s="4"/>
      <c r="C149" s="4"/>
      <c r="D149" s="4"/>
      <c r="E149" s="4"/>
      <c r="F149" s="4"/>
      <c r="G149" s="4"/>
      <c r="H149" s="4"/>
      <c r="L149" s="4"/>
    </row>
    <row r="150" spans="1:12" ht="12">
      <c r="A150" s="4"/>
      <c r="B150" s="4"/>
      <c r="C150" s="4"/>
      <c r="D150" s="4"/>
      <c r="E150" s="4"/>
      <c r="F150" s="4"/>
      <c r="G150" s="4"/>
      <c r="H150" s="4"/>
      <c r="L150" s="4"/>
    </row>
    <row r="151" spans="2:12" ht="12">
      <c r="B151" s="286"/>
      <c r="C151" s="287"/>
      <c r="G151" s="288"/>
      <c r="H151" s="287"/>
      <c r="L151" s="4"/>
    </row>
    <row r="152" spans="7:12" ht="12">
      <c r="G152" s="289"/>
      <c r="L152" s="4"/>
    </row>
    <row r="153" spans="7:12" ht="12">
      <c r="G153" s="289"/>
      <c r="L153" s="4"/>
    </row>
    <row r="154" spans="2:12" ht="12">
      <c r="B154" s="286"/>
      <c r="C154" s="287"/>
      <c r="G154" s="288"/>
      <c r="H154" s="287"/>
      <c r="L154" s="4"/>
    </row>
    <row r="155" spans="7:12" ht="12">
      <c r="G155" s="29"/>
      <c r="L155" s="4"/>
    </row>
    <row r="156" spans="7:12" ht="12">
      <c r="G156" s="29"/>
      <c r="L156" s="4"/>
    </row>
    <row r="157" spans="2:12" ht="12">
      <c r="B157" s="3"/>
      <c r="C157" s="290"/>
      <c r="G157" s="288"/>
      <c r="H157" s="287"/>
      <c r="L157" s="4"/>
    </row>
    <row r="158" spans="7:12" ht="12">
      <c r="G158" s="29"/>
      <c r="L158" s="4"/>
    </row>
    <row r="159" spans="7:12" ht="12">
      <c r="G159" s="29"/>
      <c r="L159" s="4"/>
    </row>
    <row r="160" spans="2:12" ht="12">
      <c r="B160" s="3"/>
      <c r="C160" s="291"/>
      <c r="G160" s="288"/>
      <c r="H160" s="292"/>
      <c r="L160" s="4"/>
    </row>
    <row r="161" spans="10:12" ht="12">
      <c r="J161" s="4"/>
      <c r="K161" s="4"/>
      <c r="L161" s="4"/>
    </row>
    <row r="162" spans="1:12" ht="12">
      <c r="A162" s="293"/>
      <c r="B162" s="293"/>
      <c r="C162" s="293"/>
      <c r="D162" s="293"/>
      <c r="E162" s="293"/>
      <c r="F162" s="293"/>
      <c r="G162" s="293"/>
      <c r="H162" s="293"/>
      <c r="I162" s="293"/>
      <c r="J162" s="7"/>
      <c r="K162" s="7"/>
      <c r="L162" s="4"/>
    </row>
    <row r="163" spans="10:12" ht="12">
      <c r="J163" s="4"/>
      <c r="K163" s="4"/>
      <c r="L163" s="4"/>
    </row>
    <row r="164" spans="2:12" ht="12">
      <c r="B164" s="286"/>
      <c r="D164" s="292"/>
      <c r="J164" s="4"/>
      <c r="K164" s="4"/>
      <c r="L164" s="4"/>
    </row>
    <row r="165" spans="10:12" ht="12">
      <c r="J165" s="4"/>
      <c r="K165" s="4"/>
      <c r="L165" s="4"/>
    </row>
    <row r="166" spans="1:12" ht="12">
      <c r="A166" s="293"/>
      <c r="B166" s="293"/>
      <c r="C166" s="293"/>
      <c r="D166" s="293"/>
      <c r="E166" s="293"/>
      <c r="F166" s="293"/>
      <c r="G166" s="293"/>
      <c r="H166" s="293"/>
      <c r="I166" s="293"/>
      <c r="J166" s="7"/>
      <c r="K166" s="7"/>
      <c r="L166" s="4"/>
    </row>
    <row r="167" spans="1:12" ht="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</sheetData>
  <sheetProtection password="F184" sheet="1"/>
  <mergeCells count="3">
    <mergeCell ref="A1:K1"/>
    <mergeCell ref="A5:J5"/>
    <mergeCell ref="F48:G48"/>
  </mergeCells>
  <printOptions horizontalCentered="1" verticalCentered="1"/>
  <pageMargins left="0" right="0" top="0.3937007874015748" bottom="0.1968503937007874" header="0.31496062992125984" footer="0.31496062992125984"/>
  <pageSetup horizontalDpi="600" verticalDpi="600" orientation="portrait" paperSize="9" scale="70" r:id="rId1"/>
  <headerFooter alignWithMargins="0">
    <oddHeader>&amp;CPágina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aldirlei</cp:lastModifiedBy>
  <cp:lastPrinted>2015-11-27T17:46:55Z</cp:lastPrinted>
  <dcterms:created xsi:type="dcterms:W3CDTF">1998-06-22T18:58:18Z</dcterms:created>
  <dcterms:modified xsi:type="dcterms:W3CDTF">2015-11-30T15:38:45Z</dcterms:modified>
  <cp:category/>
  <cp:version/>
  <cp:contentType/>
  <cp:contentStatus/>
</cp:coreProperties>
</file>