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785" yWindow="-15" windowWidth="4770" windowHeight="4710" firstSheet="6" activeTab="10"/>
  </bookViews>
  <sheets>
    <sheet name="Ônibus Equipe Capina" sheetId="26" r:id="rId1"/>
    <sheet name="Insumos Varrição" sheetId="18" r:id="rId2"/>
    <sheet name="Insumos - Equipe Capina" sheetId="16" r:id="rId3"/>
    <sheet name="Insumos - Equipe Multi Uso" sheetId="15" r:id="rId4"/>
    <sheet name="Equipe Multi Uso" sheetId="14" r:id="rId5"/>
    <sheet name="Equipe Varrição" sheetId="13" r:id="rId6"/>
    <sheet name="Caminhão Equipe Multi-Uso" sheetId="8" r:id="rId7"/>
    <sheet name="Caminhão Basculante Varrição" sheetId="9" r:id="rId8"/>
    <sheet name="Equipe Capina" sheetId="12" r:id="rId9"/>
    <sheet name="Encargos Sociais" sheetId="29" r:id="rId10"/>
    <sheet name="Quadro Resumo" sheetId="32" r:id="rId11"/>
  </sheets>
  <definedNames>
    <definedName name="_xlnm.Print_Area" localSheetId="7">'Caminhão Basculante Varrição'!$A$1:$W$64</definedName>
    <definedName name="_xlnm.Print_Area" localSheetId="6">'Caminhão Equipe Multi-Uso'!$A$1:$W$64</definedName>
    <definedName name="_xlnm.Print_Area" localSheetId="8">'Equipe Capina'!$A$1:$K$63</definedName>
    <definedName name="_xlnm.Print_Area" localSheetId="4">'Equipe Multi Uso'!$A$1:$K$56</definedName>
    <definedName name="_xlnm.Print_Area" localSheetId="5">'Equipe Varrição'!$A$1:$L$63</definedName>
    <definedName name="_xlnm.Print_Area" localSheetId="2">'Insumos - Equipe Capina'!$A$1:$K$53</definedName>
    <definedName name="_xlnm.Print_Area" localSheetId="3">'Insumos - Equipe Multi Uso'!$A$1:$K$51</definedName>
    <definedName name="_xlnm.Print_Area" localSheetId="1">'Insumos Varrição'!$A$1:$L$56</definedName>
    <definedName name="_xlnm.Print_Area" localSheetId="0">'Ônibus Equipe Capina'!$A$1:$W$72</definedName>
  </definedNames>
  <calcPr calcId="125725" fullPrecision="0"/>
</workbook>
</file>

<file path=xl/calcChain.xml><?xml version="1.0" encoding="utf-8"?>
<calcChain xmlns="http://schemas.openxmlformats.org/spreadsheetml/2006/main">
  <c r="A63" i="12"/>
  <c r="J21" i="13"/>
  <c r="H21"/>
  <c r="E21"/>
  <c r="J19" i="16"/>
  <c r="I17" i="12"/>
  <c r="I19" i="13"/>
  <c r="I22" s="1"/>
  <c r="I17" i="14"/>
  <c r="A32" i="32"/>
  <c r="A50" i="29"/>
  <c r="A63" i="9"/>
  <c r="A63" i="8"/>
  <c r="A62" i="13"/>
  <c r="A56" i="14"/>
  <c r="A51" i="15"/>
  <c r="A53" i="16"/>
  <c r="A56" i="18"/>
  <c r="I19" i="12"/>
  <c r="J19" s="1"/>
  <c r="E25" i="18"/>
  <c r="H25" s="1"/>
  <c r="J25" s="1"/>
  <c r="E24"/>
  <c r="H24"/>
  <c r="J24" s="1"/>
  <c r="E66" i="26"/>
  <c r="I15" i="29"/>
  <c r="I41" s="1"/>
  <c r="I43" s="1"/>
  <c r="I25"/>
  <c r="I33"/>
  <c r="I39"/>
  <c r="H16" i="12"/>
  <c r="J16" s="1"/>
  <c r="H17"/>
  <c r="J17"/>
  <c r="H18"/>
  <c r="J18" s="1"/>
  <c r="H19"/>
  <c r="H20"/>
  <c r="J20" s="1"/>
  <c r="H21"/>
  <c r="J21"/>
  <c r="H22"/>
  <c r="E23"/>
  <c r="H23" s="1"/>
  <c r="J23"/>
  <c r="E24"/>
  <c r="H24" s="1"/>
  <c r="J24" s="1"/>
  <c r="E25"/>
  <c r="E29" s="1"/>
  <c r="H29" s="1"/>
  <c r="H25"/>
  <c r="J25" s="1"/>
  <c r="E27"/>
  <c r="H27" s="1"/>
  <c r="J27" s="1"/>
  <c r="E28"/>
  <c r="H28" s="1"/>
  <c r="J28" s="1"/>
  <c r="H33"/>
  <c r="H44"/>
  <c r="H47"/>
  <c r="H50"/>
  <c r="C53"/>
  <c r="H53"/>
  <c r="E58"/>
  <c r="B18" i="32" s="1"/>
  <c r="M1" i="9"/>
  <c r="M2"/>
  <c r="M4"/>
  <c r="M5"/>
  <c r="O5"/>
  <c r="P5"/>
  <c r="M6"/>
  <c r="M7"/>
  <c r="O7"/>
  <c r="P7"/>
  <c r="M8"/>
  <c r="P8"/>
  <c r="AB10"/>
  <c r="AB13" s="1"/>
  <c r="AB11"/>
  <c r="T16"/>
  <c r="T17"/>
  <c r="C18"/>
  <c r="H18" s="1"/>
  <c r="J18"/>
  <c r="I18"/>
  <c r="I19" s="1"/>
  <c r="U16"/>
  <c r="V16" s="1"/>
  <c r="T18"/>
  <c r="V18" s="1"/>
  <c r="Z18"/>
  <c r="A19"/>
  <c r="T19"/>
  <c r="V19" s="1"/>
  <c r="Z19"/>
  <c r="Z20" s="1"/>
  <c r="H20"/>
  <c r="J20"/>
  <c r="T20"/>
  <c r="V20" s="1"/>
  <c r="Z22"/>
  <c r="A21"/>
  <c r="H21" s="1"/>
  <c r="C21"/>
  <c r="J21"/>
  <c r="I21"/>
  <c r="T21"/>
  <c r="V21" s="1"/>
  <c r="H22"/>
  <c r="J22"/>
  <c r="T22"/>
  <c r="V22" s="1"/>
  <c r="H23"/>
  <c r="J23" s="1"/>
  <c r="H24"/>
  <c r="I24"/>
  <c r="J24"/>
  <c r="H27"/>
  <c r="C30"/>
  <c r="E30" s="1"/>
  <c r="H30"/>
  <c r="H34"/>
  <c r="O41"/>
  <c r="T41" s="1"/>
  <c r="O43"/>
  <c r="T43" s="1"/>
  <c r="O45"/>
  <c r="T45" s="1"/>
  <c r="H48"/>
  <c r="H51"/>
  <c r="H54"/>
  <c r="C57"/>
  <c r="H57"/>
  <c r="M1" i="8"/>
  <c r="M2"/>
  <c r="M4"/>
  <c r="M5"/>
  <c r="O5"/>
  <c r="P5"/>
  <c r="M6"/>
  <c r="M7"/>
  <c r="O7"/>
  <c r="P7"/>
  <c r="M8"/>
  <c r="P8"/>
  <c r="AB10"/>
  <c r="AB13" s="1"/>
  <c r="AB11"/>
  <c r="T16"/>
  <c r="U16"/>
  <c r="T17"/>
  <c r="C18"/>
  <c r="C19" s="1"/>
  <c r="H18"/>
  <c r="J18" s="1"/>
  <c r="I18"/>
  <c r="T18"/>
  <c r="V18"/>
  <c r="Z18"/>
  <c r="A19"/>
  <c r="H19" s="1"/>
  <c r="J19" s="1"/>
  <c r="I19"/>
  <c r="T19"/>
  <c r="V19" s="1"/>
  <c r="Z19"/>
  <c r="H20"/>
  <c r="J20" s="1"/>
  <c r="T20"/>
  <c r="V20"/>
  <c r="A21"/>
  <c r="H21" s="1"/>
  <c r="J21" s="1"/>
  <c r="C21"/>
  <c r="I21"/>
  <c r="T21"/>
  <c r="V21" s="1"/>
  <c r="H22"/>
  <c r="J22"/>
  <c r="T22"/>
  <c r="V22" s="1"/>
  <c r="H23"/>
  <c r="J23" s="1"/>
  <c r="H24"/>
  <c r="I24"/>
  <c r="J24"/>
  <c r="H27"/>
  <c r="C30"/>
  <c r="H30"/>
  <c r="E30"/>
  <c r="H34"/>
  <c r="O41"/>
  <c r="T41" s="1"/>
  <c r="O43"/>
  <c r="T43"/>
  <c r="O45"/>
  <c r="T45" s="1"/>
  <c r="H48"/>
  <c r="H51"/>
  <c r="H54"/>
  <c r="C57"/>
  <c r="H57"/>
  <c r="O47"/>
  <c r="T47" s="1"/>
  <c r="N8" i="13"/>
  <c r="E25" s="1"/>
  <c r="E29" s="1"/>
  <c r="H29" s="1"/>
  <c r="J29" s="1"/>
  <c r="N9"/>
  <c r="N10"/>
  <c r="C11"/>
  <c r="N11" s="1"/>
  <c r="N13"/>
  <c r="H19"/>
  <c r="J19" s="1"/>
  <c r="H20"/>
  <c r="J20"/>
  <c r="H22"/>
  <c r="J22" s="1"/>
  <c r="H23"/>
  <c r="J23"/>
  <c r="H24"/>
  <c r="J24" s="1"/>
  <c r="H26"/>
  <c r="H36"/>
  <c r="H47"/>
  <c r="H50"/>
  <c r="H53"/>
  <c r="C56"/>
  <c r="H56" s="1"/>
  <c r="H16" i="14"/>
  <c r="J16" s="1"/>
  <c r="H17"/>
  <c r="J17"/>
  <c r="H18"/>
  <c r="J18" s="1"/>
  <c r="H19"/>
  <c r="E20"/>
  <c r="H30"/>
  <c r="H41"/>
  <c r="H44"/>
  <c r="H47"/>
  <c r="C50"/>
  <c r="H50"/>
  <c r="H16" i="15"/>
  <c r="J16" s="1"/>
  <c r="E17"/>
  <c r="H17"/>
  <c r="J17" s="1"/>
  <c r="E21"/>
  <c r="H21" s="1"/>
  <c r="J21" s="1"/>
  <c r="H25"/>
  <c r="H36"/>
  <c r="H39"/>
  <c r="H42"/>
  <c r="C45"/>
  <c r="H45" s="1"/>
  <c r="H16" i="16"/>
  <c r="J16"/>
  <c r="J21" s="1"/>
  <c r="I23" s="1"/>
  <c r="J23" s="1"/>
  <c r="E17"/>
  <c r="H17"/>
  <c r="J17" s="1"/>
  <c r="I17"/>
  <c r="H18"/>
  <c r="E19"/>
  <c r="H19"/>
  <c r="H23"/>
  <c r="H34"/>
  <c r="H37"/>
  <c r="H40"/>
  <c r="C43"/>
  <c r="H43"/>
  <c r="E48"/>
  <c r="H18" i="18"/>
  <c r="J18"/>
  <c r="H19"/>
  <c r="J19" s="1"/>
  <c r="E20"/>
  <c r="E21"/>
  <c r="H21" s="1"/>
  <c r="J21" s="1"/>
  <c r="A22"/>
  <c r="E22"/>
  <c r="H22"/>
  <c r="J22" s="1"/>
  <c r="H23"/>
  <c r="J23"/>
  <c r="H29"/>
  <c r="H40"/>
  <c r="H43"/>
  <c r="H46"/>
  <c r="C49"/>
  <c r="H49" s="1"/>
  <c r="M1" i="26"/>
  <c r="M2"/>
  <c r="M4"/>
  <c r="M5"/>
  <c r="O5"/>
  <c r="P5"/>
  <c r="M6"/>
  <c r="M7"/>
  <c r="O7"/>
  <c r="P7"/>
  <c r="M8"/>
  <c r="P8"/>
  <c r="T16"/>
  <c r="T17"/>
  <c r="H18"/>
  <c r="J18" s="1"/>
  <c r="I18"/>
  <c r="U16" s="1"/>
  <c r="V16"/>
  <c r="U17" s="1"/>
  <c r="V17" s="1"/>
  <c r="T18"/>
  <c r="V18" s="1"/>
  <c r="A19"/>
  <c r="C19"/>
  <c r="T19"/>
  <c r="V19" s="1"/>
  <c r="H20"/>
  <c r="J20"/>
  <c r="T20"/>
  <c r="V20" s="1"/>
  <c r="A21"/>
  <c r="C21"/>
  <c r="H21"/>
  <c r="J21" s="1"/>
  <c r="I21"/>
  <c r="T21"/>
  <c r="V21" s="1"/>
  <c r="H22"/>
  <c r="J22" s="1"/>
  <c r="T22"/>
  <c r="V22"/>
  <c r="H23"/>
  <c r="J23" s="1"/>
  <c r="H24"/>
  <c r="I24"/>
  <c r="H27"/>
  <c r="C30"/>
  <c r="H30"/>
  <c r="H35"/>
  <c r="O44"/>
  <c r="T44" s="1"/>
  <c r="O46"/>
  <c r="T46" s="1"/>
  <c r="O48"/>
  <c r="T48"/>
  <c r="H51"/>
  <c r="H54"/>
  <c r="H57"/>
  <c r="C60"/>
  <c r="E18" i="15"/>
  <c r="E19"/>
  <c r="C19" i="9"/>
  <c r="H19" s="1"/>
  <c r="J19" s="1"/>
  <c r="J26" s="1"/>
  <c r="J27" s="1"/>
  <c r="H18" i="15"/>
  <c r="J18" s="1"/>
  <c r="H19" i="26"/>
  <c r="H20" i="18"/>
  <c r="J20" s="1"/>
  <c r="O47" i="9"/>
  <c r="T47" s="1"/>
  <c r="V24" i="26" l="1"/>
  <c r="J27" i="18"/>
  <c r="J25" i="16"/>
  <c r="E22" i="14"/>
  <c r="E24"/>
  <c r="H24" s="1"/>
  <c r="J24" s="1"/>
  <c r="J23" i="15"/>
  <c r="Z20" i="8"/>
  <c r="Z22" s="1"/>
  <c r="J24" i="26"/>
  <c r="E20" i="15"/>
  <c r="H20" s="1"/>
  <c r="J20" s="1"/>
  <c r="H19"/>
  <c r="J19" s="1"/>
  <c r="E27" i="13"/>
  <c r="H25"/>
  <c r="J25" s="1"/>
  <c r="U17" i="9"/>
  <c r="V17" s="1"/>
  <c r="V24" s="1"/>
  <c r="H60" i="26"/>
  <c r="O50"/>
  <c r="T50" s="1"/>
  <c r="J26" i="8"/>
  <c r="J27" s="1"/>
  <c r="I22" i="12"/>
  <c r="E21" i="14"/>
  <c r="I19"/>
  <c r="E30" i="26"/>
  <c r="H20" i="14"/>
  <c r="J20" s="1"/>
  <c r="V16" i="8"/>
  <c r="E26" i="12"/>
  <c r="H26" s="1"/>
  <c r="J26" s="1"/>
  <c r="I19" i="26"/>
  <c r="J19" s="1"/>
  <c r="J26" s="1"/>
  <c r="J27" s="1"/>
  <c r="U39" i="9" l="1"/>
  <c r="V39"/>
  <c r="I30"/>
  <c r="J30" s="1"/>
  <c r="E30" i="13"/>
  <c r="H30" s="1"/>
  <c r="J30" s="1"/>
  <c r="H27"/>
  <c r="J27" s="1"/>
  <c r="E28"/>
  <c r="E31"/>
  <c r="H31" s="1"/>
  <c r="J31" s="1"/>
  <c r="J32" i="16"/>
  <c r="I32"/>
  <c r="V43" i="26"/>
  <c r="I30"/>
  <c r="U43"/>
  <c r="H21" i="14"/>
  <c r="J21" s="1"/>
  <c r="E25"/>
  <c r="H25" s="1"/>
  <c r="J25" s="1"/>
  <c r="I25" i="15"/>
  <c r="J25" s="1"/>
  <c r="J27"/>
  <c r="U17" i="8"/>
  <c r="V17" s="1"/>
  <c r="I26" i="14"/>
  <c r="J26" s="1"/>
  <c r="J19"/>
  <c r="H22"/>
  <c r="J22" s="1"/>
  <c r="E26"/>
  <c r="H26" s="1"/>
  <c r="E23"/>
  <c r="H23" s="1"/>
  <c r="J23" s="1"/>
  <c r="J22" i="12"/>
  <c r="I29"/>
  <c r="J29" s="1"/>
  <c r="I29" i="18"/>
  <c r="J29" s="1"/>
  <c r="J30" i="26"/>
  <c r="J33" s="1"/>
  <c r="I26" i="13"/>
  <c r="I35" i="26" l="1"/>
  <c r="J35" s="1"/>
  <c r="J43" s="1"/>
  <c r="E32" i="13"/>
  <c r="H32" s="1"/>
  <c r="H28"/>
  <c r="J28" s="1"/>
  <c r="J26"/>
  <c r="I32"/>
  <c r="J32" s="1"/>
  <c r="J28" i="14"/>
  <c r="V44" i="26"/>
  <c r="V45" s="1"/>
  <c r="J34" i="16"/>
  <c r="J36" s="1"/>
  <c r="J31" i="18"/>
  <c r="V24" i="8"/>
  <c r="J34" i="15"/>
  <c r="I34"/>
  <c r="J32" i="9"/>
  <c r="J31" i="12"/>
  <c r="V41" i="9"/>
  <c r="V42"/>
  <c r="J50" i="26" l="1"/>
  <c r="I50"/>
  <c r="U46"/>
  <c r="V47"/>
  <c r="V46"/>
  <c r="I30" i="8"/>
  <c r="J30" s="1"/>
  <c r="V39"/>
  <c r="U39"/>
  <c r="J34" i="13"/>
  <c r="J35" i="12"/>
  <c r="I33"/>
  <c r="J33" s="1"/>
  <c r="J38" i="18"/>
  <c r="I38"/>
  <c r="V43" i="9"/>
  <c r="U43"/>
  <c r="V44"/>
  <c r="J39"/>
  <c r="I34"/>
  <c r="J34" s="1"/>
  <c r="J36" i="15"/>
  <c r="I37" i="16"/>
  <c r="J37"/>
  <c r="J39" s="1"/>
  <c r="I30" i="14"/>
  <c r="J30" s="1"/>
  <c r="V46" i="9" l="1"/>
  <c r="V49" s="1"/>
  <c r="V45"/>
  <c r="U45"/>
  <c r="I46"/>
  <c r="J46"/>
  <c r="J32" i="8"/>
  <c r="J40" i="16"/>
  <c r="I40"/>
  <c r="J42"/>
  <c r="J45" s="1"/>
  <c r="I42" i="12"/>
  <c r="J42"/>
  <c r="U48" i="26"/>
  <c r="V48"/>
  <c r="V49" s="1"/>
  <c r="V53" s="1"/>
  <c r="J51"/>
  <c r="J53" s="1"/>
  <c r="J40" i="18"/>
  <c r="J42"/>
  <c r="I36" i="13"/>
  <c r="J36" s="1"/>
  <c r="V41" i="8"/>
  <c r="V42"/>
  <c r="J38" i="15"/>
  <c r="J32" i="14"/>
  <c r="J50" i="9" l="1"/>
  <c r="J48"/>
  <c r="J49" i="16"/>
  <c r="J43"/>
  <c r="K43" s="1"/>
  <c r="K45"/>
  <c r="D14" i="32"/>
  <c r="D18" s="1"/>
  <c r="F49" i="16"/>
  <c r="K17"/>
  <c r="K16"/>
  <c r="K19"/>
  <c r="K23"/>
  <c r="K25"/>
  <c r="K34"/>
  <c r="J39" i="14"/>
  <c r="I39"/>
  <c r="J38" i="13"/>
  <c r="I39" i="15"/>
  <c r="J39"/>
  <c r="J54" i="26"/>
  <c r="I54"/>
  <c r="V55" i="9"/>
  <c r="V47"/>
  <c r="V43" i="8"/>
  <c r="U43"/>
  <c r="J43" i="18"/>
  <c r="I43"/>
  <c r="V59" i="26"/>
  <c r="V50"/>
  <c r="J44" i="12"/>
  <c r="J39" i="8"/>
  <c r="I34"/>
  <c r="J34" s="1"/>
  <c r="K37" i="16"/>
  <c r="K40"/>
  <c r="I46" i="8" l="1"/>
  <c r="J46"/>
  <c r="I51" i="9"/>
  <c r="J51"/>
  <c r="J53"/>
  <c r="J45" i="13"/>
  <c r="I45"/>
  <c r="J41" i="14"/>
  <c r="J43"/>
  <c r="J46" i="12"/>
  <c r="J45" i="18"/>
  <c r="V44" i="8"/>
  <c r="J56" i="26"/>
  <c r="J41" i="15"/>
  <c r="J44" i="14" l="1"/>
  <c r="I44"/>
  <c r="J44" i="15"/>
  <c r="J47" s="1"/>
  <c r="I42"/>
  <c r="J42"/>
  <c r="J46" i="18"/>
  <c r="I46"/>
  <c r="I57" i="26"/>
  <c r="J59"/>
  <c r="J63" s="1"/>
  <c r="J57"/>
  <c r="J49" i="13"/>
  <c r="J47"/>
  <c r="J48" i="8"/>
  <c r="J47" i="12"/>
  <c r="I47"/>
  <c r="V46" i="8"/>
  <c r="V49" s="1"/>
  <c r="V45"/>
  <c r="U45"/>
  <c r="J56" i="9"/>
  <c r="J59" s="1"/>
  <c r="I54"/>
  <c r="J54"/>
  <c r="V56" l="1"/>
  <c r="J57"/>
  <c r="V59"/>
  <c r="J60" i="26"/>
  <c r="V60"/>
  <c r="V63"/>
  <c r="D24" i="32"/>
  <c r="K47" i="15"/>
  <c r="J45"/>
  <c r="K45" s="1"/>
  <c r="K16"/>
  <c r="K18"/>
  <c r="K17"/>
  <c r="K21"/>
  <c r="K20"/>
  <c r="K19"/>
  <c r="K27"/>
  <c r="K25"/>
  <c r="K36"/>
  <c r="K39"/>
  <c r="V47" i="8"/>
  <c r="V55"/>
  <c r="J52" i="13"/>
  <c r="I50"/>
  <c r="J50"/>
  <c r="J50" i="8"/>
  <c r="K42" i="15"/>
  <c r="J46" i="14"/>
  <c r="J49" i="12"/>
  <c r="J48" i="18"/>
  <c r="J51" s="1"/>
  <c r="J49" l="1"/>
  <c r="K49" s="1"/>
  <c r="K18"/>
  <c r="D7" i="32"/>
  <c r="K51" i="18"/>
  <c r="K20"/>
  <c r="K22"/>
  <c r="K23"/>
  <c r="K25"/>
  <c r="K21"/>
  <c r="K24"/>
  <c r="K19"/>
  <c r="K29"/>
  <c r="K31"/>
  <c r="K40"/>
  <c r="K43"/>
  <c r="C14" i="32"/>
  <c r="C18" s="1"/>
  <c r="W16" i="26"/>
  <c r="W20"/>
  <c r="J67"/>
  <c r="W18"/>
  <c r="W22"/>
  <c r="F67"/>
  <c r="K23"/>
  <c r="K18"/>
  <c r="K20"/>
  <c r="K22"/>
  <c r="W17"/>
  <c r="W19"/>
  <c r="W21"/>
  <c r="K27"/>
  <c r="K24"/>
  <c r="W24"/>
  <c r="K30"/>
  <c r="W44"/>
  <c r="K43"/>
  <c r="K35"/>
  <c r="W46"/>
  <c r="W48"/>
  <c r="K51"/>
  <c r="W53"/>
  <c r="W50"/>
  <c r="K54"/>
  <c r="W59"/>
  <c r="V60" i="9"/>
  <c r="C7" i="32" s="1"/>
  <c r="W21" i="9"/>
  <c r="W18"/>
  <c r="K20"/>
  <c r="W16"/>
  <c r="K27"/>
  <c r="W19"/>
  <c r="K18"/>
  <c r="W22"/>
  <c r="K24"/>
  <c r="W20"/>
  <c r="K23"/>
  <c r="K22"/>
  <c r="W24"/>
  <c r="W17"/>
  <c r="K30"/>
  <c r="W41"/>
  <c r="W43"/>
  <c r="K39"/>
  <c r="W45"/>
  <c r="W49"/>
  <c r="W55"/>
  <c r="K48"/>
  <c r="W47"/>
  <c r="K51"/>
  <c r="I47" i="14"/>
  <c r="J47"/>
  <c r="J49"/>
  <c r="J52" s="1"/>
  <c r="J55" i="13"/>
  <c r="J58" s="1"/>
  <c r="J53"/>
  <c r="I53"/>
  <c r="J50" i="12"/>
  <c r="I50"/>
  <c r="I51" i="8"/>
  <c r="J53"/>
  <c r="J51"/>
  <c r="K54" i="9"/>
  <c r="K46" i="18"/>
  <c r="K63" i="26"/>
  <c r="W56" i="9"/>
  <c r="K60" i="26"/>
  <c r="K59" i="9"/>
  <c r="K57" i="26"/>
  <c r="W60"/>
  <c r="K57" i="9"/>
  <c r="K52" i="14" l="1"/>
  <c r="J50"/>
  <c r="K50" s="1"/>
  <c r="E24" i="32"/>
  <c r="K16" i="14"/>
  <c r="K18"/>
  <c r="K17"/>
  <c r="K24"/>
  <c r="K20"/>
  <c r="K23"/>
  <c r="K22"/>
  <c r="K19"/>
  <c r="K26"/>
  <c r="K25"/>
  <c r="K21"/>
  <c r="K30"/>
  <c r="K32"/>
  <c r="K41"/>
  <c r="K44"/>
  <c r="J56" i="13"/>
  <c r="K56" s="1"/>
  <c r="K24"/>
  <c r="E7" i="32"/>
  <c r="G7" s="1"/>
  <c r="G10" s="1"/>
  <c r="K23" i="13"/>
  <c r="K19"/>
  <c r="K21"/>
  <c r="K58"/>
  <c r="K29"/>
  <c r="K22"/>
  <c r="K20"/>
  <c r="K25"/>
  <c r="K27"/>
  <c r="K31"/>
  <c r="K30"/>
  <c r="K28"/>
  <c r="K26"/>
  <c r="K36"/>
  <c r="K38"/>
  <c r="K47"/>
  <c r="K50" i="12"/>
  <c r="W63" i="26"/>
  <c r="K50" i="13"/>
  <c r="J52" i="12"/>
  <c r="J55" s="1"/>
  <c r="K53" i="13"/>
  <c r="W59" i="9"/>
  <c r="I54" i="8"/>
  <c r="J54"/>
  <c r="K47" i="14"/>
  <c r="F59" i="12" l="1"/>
  <c r="J59" s="1"/>
  <c r="E14" i="32"/>
  <c r="E18" s="1"/>
  <c r="G18" s="1"/>
  <c r="G20" s="1"/>
  <c r="K55" i="12"/>
  <c r="K18"/>
  <c r="K24"/>
  <c r="J53"/>
  <c r="K53" s="1"/>
  <c r="K20"/>
  <c r="K25"/>
  <c r="K27"/>
  <c r="K23"/>
  <c r="K19"/>
  <c r="K21"/>
  <c r="K17"/>
  <c r="K28"/>
  <c r="K16"/>
  <c r="K26"/>
  <c r="K29"/>
  <c r="K22"/>
  <c r="K33"/>
  <c r="K35"/>
  <c r="K44"/>
  <c r="K47"/>
  <c r="J56" i="8"/>
  <c r="J59" s="1"/>
  <c r="V56" l="1"/>
  <c r="J57"/>
  <c r="V59"/>
  <c r="C24" i="32" l="1"/>
  <c r="G24" s="1"/>
  <c r="G27" s="1"/>
  <c r="G28" s="1"/>
  <c r="W20" i="8"/>
  <c r="W19"/>
  <c r="W22"/>
  <c r="K22"/>
  <c r="K20"/>
  <c r="W21"/>
  <c r="K18"/>
  <c r="K23"/>
  <c r="K24"/>
  <c r="W18"/>
  <c r="W16"/>
  <c r="K27"/>
  <c r="W17"/>
  <c r="W24"/>
  <c r="K30"/>
  <c r="W41"/>
  <c r="K34"/>
  <c r="K39"/>
  <c r="W43"/>
  <c r="W49"/>
  <c r="W45"/>
  <c r="K48"/>
  <c r="W47"/>
  <c r="W55"/>
  <c r="K51"/>
  <c r="K54"/>
  <c r="W56"/>
  <c r="K57"/>
  <c r="K59"/>
  <c r="W59" l="1"/>
</calcChain>
</file>

<file path=xl/sharedStrings.xml><?xml version="1.0" encoding="utf-8"?>
<sst xmlns="http://schemas.openxmlformats.org/spreadsheetml/2006/main" count="1456" uniqueCount="348">
  <si>
    <t>DESCRIÇÃO   DOS   SERVIÇOS</t>
  </si>
  <si>
    <t xml:space="preserve">CARRINHOS  LUTOCAR,  VASSOURAS,  PÁS,  ENXADAS,  SACOS  DE  LIXO  e  ETC  </t>
  </si>
  <si>
    <t>EQUIPAMENTOS</t>
  </si>
  <si>
    <t>MÃO-DE-OBRA</t>
  </si>
  <si>
    <t>TOTAL</t>
  </si>
  <si>
    <t>01  ENCARREGADO  e  02  MONITORES )</t>
  </si>
  <si>
    <t>Qtde  Mês</t>
  </si>
  <si>
    <t>PINTURA  DE  MEIO  FIOS,  PODAS  DE  ARVORES  E  ETC</t>
  </si>
  <si>
    <t>Total</t>
  </si>
  <si>
    <t>01  ENCARREGADO  E  12  CAPINEIROS  PARA  CAPINAS,  PODAS DE ÁRVORES E ETC</t>
  </si>
  <si>
    <t>S U B     T O T A L     D O     I T E M</t>
  </si>
  <si>
    <t xml:space="preserve">01  ENCARREGADO  , 01  MOTORISTA  E  12  SERVIÇOS  GERAIS PARA  LIMPEZA  DE  BUEIROS, </t>
  </si>
  <si>
    <t>T O T A L     D O     I T E M     05</t>
  </si>
  <si>
    <t>T O T A L     D O     I T E M     06</t>
  </si>
  <si>
    <t>T O T A L     D O     I T E M     07</t>
  </si>
  <si>
    <t xml:space="preserve">01  ONIBUS  PARA  TRANSPORTE  DE  EQUIPES  +  02  CAMINHÕES  BASCULANTE  </t>
  </si>
  <si>
    <r>
      <t xml:space="preserve">01  EQUIPE  MULTI USO  A  SER  SOLICITADA  </t>
    </r>
    <r>
      <rPr>
        <b/>
        <u/>
        <sz val="10"/>
        <color indexed="8"/>
        <rFont val="Times New Roman"/>
        <family val="1"/>
      </rPr>
      <t>EVENTUALMENTE</t>
    </r>
    <r>
      <rPr>
        <b/>
        <sz val="10"/>
        <color indexed="8"/>
        <rFont val="Times New Roman"/>
        <family val="1"/>
      </rPr>
      <t xml:space="preserve">,  COMPOSTA  DE  </t>
    </r>
  </si>
  <si>
    <t>01 CAMINHÃO BASCULANTE</t>
  </si>
  <si>
    <t xml:space="preserve">EQUIPES DE VARRIÇÃO  MANUAL  DE  VIAS  E  SARJETAS ( 160  VARREDORES  COM  </t>
  </si>
  <si>
    <t xml:space="preserve">QTDE  ESTIMADA  PARA  04  EQUIPES   -   PREÇO  POR  M² </t>
  </si>
  <si>
    <t xml:space="preserve">DEMONSTRATIVO MENSAL DE CUSTO OPERACIONAL UNITÁRIO DE VEÍCULO </t>
  </si>
  <si>
    <t>%</t>
  </si>
  <si>
    <t>QUADRO  3  -  COMPOSIÇÃO DE CUSTO VARIÁVEL/KM</t>
  </si>
  <si>
    <t>QUADRO  1 -  COMPOSIÇÃO DE CUSTO FIXO</t>
  </si>
  <si>
    <t>Descrição do Veiculo: CAMINHÃO   BASCULANTE   -   Tipo   MBB 1618  ou   SIMILAR</t>
  </si>
  <si>
    <t>Tipo de Combustível: Diesel</t>
  </si>
  <si>
    <t>Reserva Técnica</t>
  </si>
  <si>
    <t>às</t>
  </si>
  <si>
    <t>Hs</t>
  </si>
  <si>
    <t>Contratante:</t>
  </si>
  <si>
    <t>PREFEITURA   MUNICIPAL   DE   PATOS   DE   MINAS - MG</t>
  </si>
  <si>
    <t xml:space="preserve">Km Estimada: </t>
  </si>
  <si>
    <t>Km</t>
  </si>
  <si>
    <t xml:space="preserve">BASE </t>
  </si>
  <si>
    <t>Horário:</t>
  </si>
  <si>
    <t>QTDE</t>
  </si>
  <si>
    <t>UNIDADE</t>
  </si>
  <si>
    <t>CONSUMO</t>
  </si>
  <si>
    <t>ITEM</t>
  </si>
  <si>
    <t>D E S C R I Ç Ã O</t>
  </si>
  <si>
    <t>FATOR</t>
  </si>
  <si>
    <t>DE</t>
  </si>
  <si>
    <t>VALOR (R $)</t>
  </si>
  <si>
    <t>CÁLCULO</t>
  </si>
  <si>
    <t>ÍNDICE</t>
  </si>
  <si>
    <t>PRAZO</t>
  </si>
  <si>
    <t xml:space="preserve"> 3- </t>
  </si>
  <si>
    <t>CUSTO VARIÁVEL / KM</t>
  </si>
  <si>
    <t xml:space="preserve"> 1-</t>
  </si>
  <si>
    <t>CUSTO FIXO MENSAL</t>
  </si>
  <si>
    <t>s/ deprec.</t>
  </si>
  <si>
    <t xml:space="preserve"> 3-1</t>
  </si>
  <si>
    <t>Pecas/manutenção.........................................................................................</t>
  </si>
  <si>
    <t>************</t>
  </si>
  <si>
    <t xml:space="preserve"> 3-2</t>
  </si>
  <si>
    <t>Sal. pess. de oficina.........................................................................................................</t>
  </si>
  <si>
    <t>mês</t>
  </si>
  <si>
    <t>*******</t>
  </si>
  <si>
    <t xml:space="preserve"> 1-1</t>
  </si>
  <si>
    <t>Depreciação</t>
  </si>
  <si>
    <t>unidades</t>
  </si>
  <si>
    <t xml:space="preserve"> 3-3</t>
  </si>
  <si>
    <t>Pneus e camaras e recapagens....</t>
  </si>
  <si>
    <t xml:space="preserve"> 1-1.1</t>
  </si>
  <si>
    <t>Depreciação ( Reserva Técnica )</t>
  </si>
  <si>
    <t>0,00%</t>
  </si>
  <si>
    <t>litros</t>
  </si>
  <si>
    <t xml:space="preserve"> 3-4</t>
  </si>
  <si>
    <t>Combustível.............................................................................................................................</t>
  </si>
  <si>
    <t xml:space="preserve"> 1-2</t>
  </si>
  <si>
    <t>Renumeração do Capital</t>
  </si>
  <si>
    <t xml:space="preserve"> 3-5</t>
  </si>
  <si>
    <t>Oleo de carter..........................................................................................................................</t>
  </si>
  <si>
    <t xml:space="preserve"> 1-2.1</t>
  </si>
  <si>
    <t>Renumeração do Capital ( Reserva Técnica )</t>
  </si>
  <si>
    <t xml:space="preserve"> 3-6</t>
  </si>
  <si>
    <t>Oleo de câmbio e diferencial............................................................................</t>
  </si>
  <si>
    <t>anual</t>
  </si>
  <si>
    <t xml:space="preserve"> 1-3</t>
  </si>
  <si>
    <t>Licenciamento</t>
  </si>
  <si>
    <t xml:space="preserve"> 3-7</t>
  </si>
  <si>
    <t>Lavagem e graxas........................................................................................................................</t>
  </si>
  <si>
    <t xml:space="preserve"> 1-4</t>
  </si>
  <si>
    <t xml:space="preserve">IPVA </t>
  </si>
  <si>
    <t>%  veiculo</t>
  </si>
  <si>
    <t xml:space="preserve"> 1-5</t>
  </si>
  <si>
    <t xml:space="preserve"> 3-8</t>
  </si>
  <si>
    <t>CUSTO VARIÁVEL POR KM (3.1 A 3.7)</t>
  </si>
  <si>
    <t xml:space="preserve"> 1-6</t>
  </si>
  <si>
    <t>CUSTO FIXO MENSAL DO VEICULO (1.1 A 1.5)</t>
  </si>
  <si>
    <t>% Util. do Veículo</t>
  </si>
  <si>
    <t>% Km efetiva</t>
  </si>
  <si>
    <t>Km efetiva</t>
  </si>
  <si>
    <t xml:space="preserve"> 1-7</t>
  </si>
  <si>
    <t xml:space="preserve">Km Improdutivo </t>
  </si>
  <si>
    <t>QUADRO  4  -  COMPOSIÇÃO DE PRECO / KM</t>
  </si>
  <si>
    <t>DESCRIÇÃO</t>
  </si>
  <si>
    <t>PRECO/KM</t>
  </si>
  <si>
    <t xml:space="preserve"> 4-</t>
  </si>
  <si>
    <t>PRECO VARIAVEL / KM</t>
  </si>
  <si>
    <t xml:space="preserve"> 1-8</t>
  </si>
  <si>
    <t xml:space="preserve"> 4-1</t>
  </si>
  <si>
    <t>Custo Variável total/Km</t>
  </si>
  <si>
    <t xml:space="preserve"> 4-2</t>
  </si>
  <si>
    <t xml:space="preserve">     QUADRO  2  -  COMPOSIÇÃO DE PREÇOS</t>
  </si>
  <si>
    <t xml:space="preserve"> 4-3</t>
  </si>
  <si>
    <t>Administração Geral</t>
  </si>
  <si>
    <t>**********</t>
  </si>
  <si>
    <t xml:space="preserve"> 4-4</t>
  </si>
  <si>
    <t xml:space="preserve"> 4-5</t>
  </si>
  <si>
    <t>Encargos Financeiros</t>
  </si>
  <si>
    <t xml:space="preserve"> 4-6</t>
  </si>
  <si>
    <t xml:space="preserve"> 4-7</t>
  </si>
  <si>
    <t>Lucro pretendido(% 4.6)</t>
  </si>
  <si>
    <t xml:space="preserve"> 2-1</t>
  </si>
  <si>
    <t>Custo fixo total (1.8)</t>
  </si>
  <si>
    <t xml:space="preserve"> 4-8</t>
  </si>
  <si>
    <t xml:space="preserve"> 2-2</t>
  </si>
  <si>
    <t xml:space="preserve"> C</t>
  </si>
  <si>
    <t>Impostos</t>
  </si>
  <si>
    <t xml:space="preserve"> 2-3</t>
  </si>
  <si>
    <t xml:space="preserve"> 2-4</t>
  </si>
  <si>
    <t xml:space="preserve"> 2-5</t>
  </si>
  <si>
    <t xml:space="preserve"> 2-6</t>
  </si>
  <si>
    <t>QUADRO 5 - CUSTO UNITÁRIO TOTAL</t>
  </si>
  <si>
    <t xml:space="preserve"> 2-7</t>
  </si>
  <si>
    <t>4-10</t>
  </si>
  <si>
    <t xml:space="preserve"> 2-8</t>
  </si>
  <si>
    <t>SUB TOTAL 3(2-6 A 2-7)</t>
  </si>
  <si>
    <t>4-11</t>
  </si>
  <si>
    <t>Preço  Fixo Unitário Mensal( 2-9 )</t>
  </si>
  <si>
    <t xml:space="preserve"> A</t>
  </si>
  <si>
    <t xml:space="preserve"> 2-9</t>
  </si>
  <si>
    <t>PRECO FIXO FINAL  2-8/( 1 - A )</t>
  </si>
  <si>
    <t>4-12</t>
  </si>
  <si>
    <t>Nota Explicativa : Os campos em branco deverão ser preenchidos de acordo com os custos do proponente.</t>
  </si>
  <si>
    <t>CUSTO   DE   CAMINHÃO   BASCULANTE   -   EQUIPE   MULTI   USO</t>
  </si>
  <si>
    <t>VEICULO SEM MOTORISTA  -  REGIME ADMINISTRATIVO</t>
  </si>
  <si>
    <t>com  intervalo  de  02  Hs  para refeição</t>
  </si>
  <si>
    <t>CUSTO   DE   CAMINHÃO   BASCULANTE   VARRIÇÃO</t>
  </si>
  <si>
    <t>Custo fixo total (1.9)</t>
  </si>
  <si>
    <t>MÉDIA  DE  DIAS  TRABALHADOS  MÊS</t>
  </si>
  <si>
    <t xml:space="preserve">CUSTO   DE   EQUIPE   DE   CAPINA   </t>
  </si>
  <si>
    <t>DEMONSTRATIVO   MENSAL   DE   CUSTO   DE MÃO-DE-OBRA</t>
  </si>
  <si>
    <t xml:space="preserve"> REGIME     ADMINISTRATIVO     -     13   COMPONENTES</t>
  </si>
  <si>
    <t>Descrição : EQUIPE   DE   CAPINA</t>
  </si>
  <si>
    <t>com  02  Hs  de  refeição</t>
  </si>
  <si>
    <t>Salário do Operador de Roçadeira</t>
  </si>
  <si>
    <t>Salário do Motorista</t>
  </si>
  <si>
    <t>Salário de Serviços Gerais</t>
  </si>
  <si>
    <t>% acréscimo</t>
  </si>
  <si>
    <t>Horas</t>
  </si>
  <si>
    <t>Horas Extras</t>
  </si>
  <si>
    <t>Encarregado</t>
  </si>
  <si>
    <t>Técnico Segurança do Trabalho</t>
  </si>
  <si>
    <t xml:space="preserve">% </t>
  </si>
  <si>
    <t>Encargos Sociais e Trabalhistas</t>
  </si>
  <si>
    <t>Cesta Básica</t>
  </si>
  <si>
    <t>Alimentação ( Cesta Básica )</t>
  </si>
  <si>
    <t>unidade</t>
  </si>
  <si>
    <t xml:space="preserve"> 1-9</t>
  </si>
  <si>
    <t>Uniformes</t>
  </si>
  <si>
    <t>nº dependtes</t>
  </si>
  <si>
    <t xml:space="preserve"> 1-10</t>
  </si>
  <si>
    <t>Assitencia  Médica</t>
  </si>
  <si>
    <t xml:space="preserve"> 1-11</t>
  </si>
  <si>
    <t>Seguro de Vida</t>
  </si>
  <si>
    <t xml:space="preserve"> 1-12</t>
  </si>
  <si>
    <t>EPIs</t>
  </si>
  <si>
    <t xml:space="preserve"> 1-13</t>
  </si>
  <si>
    <t>Vale Transporte</t>
  </si>
  <si>
    <t xml:space="preserve"> 1-14</t>
  </si>
  <si>
    <t>Desconto vale transporte</t>
  </si>
  <si>
    <t xml:space="preserve"> 1-15</t>
  </si>
  <si>
    <t xml:space="preserve">RENDIMENTO  MÉDIO  DIÁRIO </t>
  </si>
  <si>
    <t>m²</t>
  </si>
  <si>
    <t>RENDIMENTO  MÉDIO  MENSAL</t>
  </si>
  <si>
    <t>CUSTO MÃO-DE-OBRA</t>
  </si>
  <si>
    <t xml:space="preserve">CUSTO  DE  EQUIPE  DE  VARRIÇÃO  </t>
  </si>
  <si>
    <t>DEMONSTRATIVO   MENSAL   DE   CUSTO   DE   SERVIÇOS</t>
  </si>
  <si>
    <t>EQUIPE   DE   VARRIÇÃO   -   REGIME   ADMINISTRATIVO</t>
  </si>
  <si>
    <t>Cargos: Encarregado / Monitor / Varredor</t>
  </si>
  <si>
    <t xml:space="preserve">Varrição Semanal: </t>
  </si>
  <si>
    <t xml:space="preserve">Varrição Diária: </t>
  </si>
  <si>
    <t xml:space="preserve">Varrição diária com repasse: </t>
  </si>
  <si>
    <t>Varrição Distritos:</t>
  </si>
  <si>
    <t>Salário do motorista transporte equipe</t>
  </si>
  <si>
    <t>Ajudantes de motoristas</t>
  </si>
  <si>
    <t>Salário do motorista caminhão basculante</t>
  </si>
  <si>
    <t>Monitor</t>
  </si>
  <si>
    <t>Salário do Varredor</t>
  </si>
  <si>
    <t>Assitência  Médica</t>
  </si>
  <si>
    <t>CUSTO   DE   EQUIPE   MULTI    USO</t>
  </si>
  <si>
    <t>Descrição : EQUIPE   MULTI   USO</t>
  </si>
  <si>
    <t>Salário de Motorista Caminhão Basculante</t>
  </si>
  <si>
    <t>CUSTO   DE   INSUMOS   E   MATERIAIS   -   EQUIPE   MULTI    USO</t>
  </si>
  <si>
    <t>Descrição : INSUMOS  E  MATERIAIS  EQUIPE   MULTI   USO</t>
  </si>
  <si>
    <t>Vassouras</t>
  </si>
  <si>
    <t>Pás</t>
  </si>
  <si>
    <t>Brochas</t>
  </si>
  <si>
    <t>Pacote de Cal  Virgem</t>
  </si>
  <si>
    <t>Saco  de  lixo - 100 Lt.</t>
  </si>
  <si>
    <t>Custo fixo total (1.6)</t>
  </si>
  <si>
    <t xml:space="preserve">CUSTO   DE   INSUMOS   E   MATERIAIS   EQUIPE   DE   CAPINA   </t>
  </si>
  <si>
    <t>Descrição : INSUMOS   E   MATERIAIS  -   EQUIPE   DE   CAPINA</t>
  </si>
  <si>
    <t>Roçadeira</t>
  </si>
  <si>
    <t>Hora</t>
  </si>
  <si>
    <t>Comsumo Roçadeira</t>
  </si>
  <si>
    <t>dias</t>
  </si>
  <si>
    <t>Custo combustível roçadeira</t>
  </si>
  <si>
    <t>CUSTO  DE  INSUMOS  E  MATERIAIS</t>
  </si>
  <si>
    <t xml:space="preserve">CUSTO  DE  INSUMOS  E  MATERIAIS  -  EQUIPE  DE  VARRIÇÃO  </t>
  </si>
  <si>
    <t>Insumos  e  Materiais  -  Equipe  de  Varrição</t>
  </si>
  <si>
    <t>Carrinho tipo Lutocar</t>
  </si>
  <si>
    <t>Enxadas</t>
  </si>
  <si>
    <t>INSUMOS</t>
  </si>
  <si>
    <t xml:space="preserve"> 1-16</t>
  </si>
  <si>
    <t>Adicional Insalubridade</t>
  </si>
  <si>
    <t>VEICULO   SEM   MOTORISTA   -   REGIME   ADMINISTRATIVO</t>
  </si>
  <si>
    <t>com   intervalo   de  02:00 hs  de  refeição</t>
  </si>
  <si>
    <t xml:space="preserve">Km Improdutivo ( Custo Km - item 3-8 ) </t>
  </si>
  <si>
    <t>CUSTO  DE  VEÍCULO  DE  TRANSPORTE  DE  EQUIPE  DE  CAPINA</t>
  </si>
  <si>
    <t xml:space="preserve">COMPOSIÇÃO ANALÍTICA DA TAXA DE ENCARGOS SOCIAIS </t>
  </si>
  <si>
    <t xml:space="preserve">        INCIDÊNCIA SOBRE O VALOR DA HORA NORMAL EFETIVAMENTE TRABALHADA</t>
  </si>
  <si>
    <t>TAXA</t>
  </si>
  <si>
    <t>GRUPO "A" - ENCARGOS SOCIAIS BÁSICOS</t>
  </si>
  <si>
    <t>A.1</t>
  </si>
  <si>
    <t>PREVIDÊNCIA SOCIAL (INSS)</t>
  </si>
  <si>
    <t>A.2</t>
  </si>
  <si>
    <t>FUNDO DE GARANTIA POR TEMPO DE SERVIÇO (FGTS)</t>
  </si>
  <si>
    <t>A.3</t>
  </si>
  <si>
    <t>SALÁRIO EDUCAÇÃO</t>
  </si>
  <si>
    <t>A.4</t>
  </si>
  <si>
    <t xml:space="preserve">SESI </t>
  </si>
  <si>
    <t>A.5</t>
  </si>
  <si>
    <t>SERVIÇO NACIONAL DE APRENDIZAGEM INDUSTRIAL (SENAI)</t>
  </si>
  <si>
    <t>A.6</t>
  </si>
  <si>
    <t>SERVIÇO DE APOIO À PEQUENA E MÉDIA EMPRESA (SEBRAE)</t>
  </si>
  <si>
    <t>A.7</t>
  </si>
  <si>
    <t>INSTITUTO NACIONAL DE COLONIZAÇÃO E REFORMA AGRÁRIA ( INCRA )</t>
  </si>
  <si>
    <t>A.8</t>
  </si>
  <si>
    <t xml:space="preserve">SEGURO CONTRA OS ACIDENTES DE TRABALHO </t>
  </si>
  <si>
    <t>A.9</t>
  </si>
  <si>
    <t>CONTRIBUIÇÃO SINDICAL</t>
  </si>
  <si>
    <t>SUBTOTAL DO GRUPO "A"</t>
  </si>
  <si>
    <t>GRUPO "B" - ENCARGOS SOCIAIS QUE RECEBEM INCIDÊNCIA DE "A"</t>
  </si>
  <si>
    <t>B.1</t>
  </si>
  <si>
    <t>AUXÍLIO ENFERMIDADE (≤ 15 DIAS )</t>
  </si>
  <si>
    <t>B.2</t>
  </si>
  <si>
    <t>FALTAS LEGAIS</t>
  </si>
  <si>
    <t>B.3</t>
  </si>
  <si>
    <t>LICENÇA PATERNIDADE</t>
  </si>
  <si>
    <t>B.4</t>
  </si>
  <si>
    <t>AUXÍLIO ACIDENTE DE TRABALHO (≤ 15 DIAS )</t>
  </si>
  <si>
    <t>B.5</t>
  </si>
  <si>
    <t>AVISO PRÉVIO TRABALHADO</t>
  </si>
  <si>
    <t>B.6</t>
  </si>
  <si>
    <t>FÉRIAS GOZADAS + GRATIFICAÇÃO</t>
  </si>
  <si>
    <t>B.7</t>
  </si>
  <si>
    <t>13º SALÁRIO</t>
  </si>
  <si>
    <t>SUBTOTAL DO GRUPO "B"</t>
  </si>
  <si>
    <t>GRUPO "C" - ENCARGOS SOCIAIS QUE NÃO RECEBEM INCIDÊNCIAS GLOBAIS DO GRUPO "A"</t>
  </si>
  <si>
    <t>C.1</t>
  </si>
  <si>
    <t>INDENIZAÇÃO ( RESCISÕES S/ JUSTA CAUSA )</t>
  </si>
  <si>
    <t>C.2</t>
  </si>
  <si>
    <t>AVISO PRÉVIO INDENIZADO</t>
  </si>
  <si>
    <t>C.3</t>
  </si>
  <si>
    <t>FÉRIAS INDENIZADAS + GRATIFICAÇÃO</t>
  </si>
  <si>
    <t>C.4</t>
  </si>
  <si>
    <t>INCIDÊNCIA FGTS SOBRE AVISO PRÉVIO INDENIZADO.</t>
  </si>
  <si>
    <t>SUBTOTAL DO GRUPO "C"</t>
  </si>
  <si>
    <t>GRUPO "D" - ( APENAS A INCIDÊNCIA DO 13º E DO FGTS NESTES PERÍODOS )</t>
  </si>
  <si>
    <t>D.1</t>
  </si>
  <si>
    <t>AUXÍLIO ACIDENTE TRABALHO ( &gt; 15 DIAS )</t>
  </si>
  <si>
    <t>SUBTOTAL DO GRUPO "D"</t>
  </si>
  <si>
    <t xml:space="preserve">GRUPO "E" - ( INCIDÊNCIA ACUMULATIVA ) </t>
  </si>
  <si>
    <t>E.1</t>
  </si>
  <si>
    <t xml:space="preserve">REINCIDÊNCIA DO GRUPO "A" SOBRE GRUPO "B" </t>
  </si>
  <si>
    <t>SUBTOTAL DO GRUPO "E"</t>
  </si>
  <si>
    <t>TOTAL GERAL</t>
  </si>
  <si>
    <t>Nota Explicativa : 1 - Os campos em branco deverão ser preenchidos de acordo com os custos do proponente.</t>
  </si>
  <si>
    <t>Nota Explicativa : 2 - O carrinho lutocar foi estimado por dupla de varredores</t>
  </si>
  <si>
    <t>Custo fixo total (1.16)</t>
  </si>
  <si>
    <t>Subtotal 1 (4.1 a 4.2)</t>
  </si>
  <si>
    <t>Subtotal 2 (4.3 + 4.4)</t>
  </si>
  <si>
    <t>Subtotal 3 (4.5 + 4.6)</t>
  </si>
  <si>
    <t>PREÇO FINAL POR  Hr.  4-7/( 1 - C )</t>
  </si>
  <si>
    <t>4-9</t>
  </si>
  <si>
    <t>PREÇO UNITÁRIO TOTAL( 4-9 + 4-10 )</t>
  </si>
  <si>
    <t>SUB-TOTAL 1 (2.1 A 2.2)</t>
  </si>
  <si>
    <t>SUB TOTAL 2(2-3 A 2-4)</t>
  </si>
  <si>
    <t>PRECO FIXO FINAL  2-7/( 1 - A )</t>
  </si>
  <si>
    <t>Lucro pretendido(% 2-5)</t>
  </si>
  <si>
    <t>PREÇO FINAL POR KM  4-7/( 1 - C )</t>
  </si>
  <si>
    <t>Preço Variável Mensal (4.8 x Km Estimada )</t>
  </si>
  <si>
    <t>Preço  médio  de   insumos   por   m²</t>
  </si>
  <si>
    <t>PREÇO UNITÁRIO ( 4-9 + 4-10 )</t>
  </si>
  <si>
    <t>PREÇO UNITÁRIO TOTAL( 4-11  X  2 UNIDADES )</t>
  </si>
  <si>
    <t>Preço  médio  da   mão-de-obra   por   m²</t>
  </si>
  <si>
    <t>Sub Total</t>
  </si>
  <si>
    <t xml:space="preserve"> 1-7-1</t>
  </si>
  <si>
    <t>CUSTO FIXO TOTAL (1.1 a 1.7.1)</t>
  </si>
  <si>
    <t>Administração Local</t>
  </si>
  <si>
    <t xml:space="preserve"> 1-8-1</t>
  </si>
  <si>
    <t>CUSTO FIXO TOTAL (1.6 a 1.8.1)</t>
  </si>
  <si>
    <t xml:space="preserve"> 1-9-1</t>
  </si>
  <si>
    <t>Custo fixo total (1.10)</t>
  </si>
  <si>
    <t xml:space="preserve"> 1-5-1</t>
  </si>
  <si>
    <t>CUSTO FIXO TOTAL (1.1 a 1.5.1)</t>
  </si>
  <si>
    <t xml:space="preserve">Peças </t>
  </si>
  <si>
    <t xml:space="preserve"> 1-12-1</t>
  </si>
  <si>
    <t>CUSTO FIXO TOTAL (1.1 a 1.12.1)</t>
  </si>
  <si>
    <t>Custo fixo total (1.13)</t>
  </si>
  <si>
    <t xml:space="preserve"> 1-15-1</t>
  </si>
  <si>
    <t>CUSTO FIXO TOTAL (1.1 a 1.15.1)</t>
  </si>
  <si>
    <t>Seguro</t>
  </si>
  <si>
    <t xml:space="preserve">Seguro </t>
  </si>
  <si>
    <t>Produtividade : 2.000 m / indivíduo</t>
  </si>
  <si>
    <t>com   intervalo   de   01:00 Hs   de   refeição</t>
  </si>
  <si>
    <t xml:space="preserve">Qtde Dias : </t>
  </si>
  <si>
    <t>Qtde</t>
  </si>
  <si>
    <t xml:space="preserve">04  EQUIPE  DE  CAPINA  A  SER  SOLICITADA  EVENTUALMENTE,  COMPOSTA  DE  </t>
  </si>
  <si>
    <t>CUSTO  DE  TRANSPORTE</t>
  </si>
  <si>
    <t>Preço  médio  de   Transporte   por   m²</t>
  </si>
  <si>
    <t>INSUMOS  E  MATERIAIS  + 01 ÔNIBUS PARA TRANSPORTE</t>
  </si>
  <si>
    <t>ÔNIBUS</t>
  </si>
  <si>
    <t>valor x 1</t>
  </si>
  <si>
    <t>valor x 4</t>
  </si>
  <si>
    <t>Fixador para cal</t>
  </si>
  <si>
    <t>(valor * 1) / 192.000</t>
  </si>
  <si>
    <t>(valor * 4) / 768.000</t>
  </si>
  <si>
    <t>Banheiro Químico</t>
  </si>
  <si>
    <t>CUSTO FIXO TOTAL (1.1 a 1.9.1)</t>
  </si>
  <si>
    <t>Higienização banheiro qúimico</t>
  </si>
  <si>
    <t>frequência</t>
  </si>
  <si>
    <t xml:space="preserve">I T E M     05     -     L I M P E Z A     D E     V I A S     E     L O G R A D O U R O S </t>
  </si>
  <si>
    <t xml:space="preserve">I T E M     06     -     E Q U I  P E     D E     C A P I N A     </t>
  </si>
  <si>
    <t>I T E M     07     -     E Q U I  P E     M U L T I      U S  O</t>
  </si>
  <si>
    <t>LOTE          03</t>
  </si>
  <si>
    <t>T O T A L     D O      LOTE          03 ( ITEM  05 + 06 + 07 )</t>
  </si>
  <si>
    <t xml:space="preserve">Nota Explicativa 1: Considerar para preço unitário 02(duas) casas após a vírgula.  </t>
  </si>
  <si>
    <t>PROPOSTA     DE     PREÇOS     -     EMERGENCIAL</t>
  </si>
  <si>
    <t>Global</t>
  </si>
  <si>
    <t>Ano de Fabricação: 2006</t>
  </si>
  <si>
    <t>Descrição do Veiculo: ÔNIBUS  MBB  1722   ou   SIMILAR</t>
  </si>
  <si>
    <t>Patos de Minas-MG, 01 de novembro de 2016</t>
  </si>
  <si>
    <t>Engº Rogerio Borges Vieira</t>
  </si>
  <si>
    <t>CREA 55.411/D-MG Mat 5009</t>
  </si>
</sst>
</file>

<file path=xl/styles.xml><?xml version="1.0" encoding="utf-8"?>
<styleSheet xmlns="http://schemas.openxmlformats.org/spreadsheetml/2006/main">
  <numFmts count="12">
    <numFmt numFmtId="166" formatCode="&quot;R$ &quot;#,##0.00_);\(&quot;R$ &quot;#,##0.00\)"/>
    <numFmt numFmtId="171" formatCode="_(* #,##0.00_);_(* \(#,##0.00\);_(* &quot;-&quot;??_);_(@_)"/>
    <numFmt numFmtId="175" formatCode="0_);\(0\)"/>
    <numFmt numFmtId="176" formatCode="#,##0_ ;\-#,##0\ "/>
    <numFmt numFmtId="177" formatCode="0.0000"/>
    <numFmt numFmtId="178" formatCode="#,##0.0000000_);\(#,##0.0000000\)"/>
    <numFmt numFmtId="179" formatCode="#,##0.0000_);\(#,##0.0000\)"/>
    <numFmt numFmtId="180" formatCode="#,##0.000_);\(#,##0.000\)"/>
    <numFmt numFmtId="181" formatCode="#,##0.00;[Red]#,##0.00"/>
    <numFmt numFmtId="187" formatCode="#,##0.0;\-#,##0.0"/>
    <numFmt numFmtId="200" formatCode="0.000"/>
    <numFmt numFmtId="224" formatCode="#,##0.0000;\-#,##0.0000"/>
  </numFmts>
  <fonts count="39">
    <font>
      <sz val="10"/>
      <name val="Courier"/>
    </font>
    <font>
      <sz val="10"/>
      <name val="Arial"/>
      <family val="2"/>
    </font>
    <font>
      <sz val="10"/>
      <color indexed="12"/>
      <name val="Courier"/>
      <family val="3"/>
    </font>
    <font>
      <b/>
      <sz val="10"/>
      <color indexed="12"/>
      <name val="Times New Roman"/>
      <family val="1"/>
    </font>
    <font>
      <sz val="10"/>
      <color indexed="10"/>
      <name val="Courier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Courier"/>
      <family val="3"/>
    </font>
    <font>
      <sz val="10"/>
      <color indexed="12"/>
      <name val="Courier"/>
      <family val="3"/>
    </font>
    <font>
      <b/>
      <sz val="10"/>
      <name val="Courier"/>
      <family val="3"/>
    </font>
    <font>
      <b/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sz val="10"/>
      <name val="Courier"/>
      <family val="3"/>
    </font>
    <font>
      <b/>
      <u/>
      <sz val="10"/>
      <color indexed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8"/>
      <name val="Courier"/>
      <family val="3"/>
    </font>
    <font>
      <b/>
      <sz val="16"/>
      <color indexed="8"/>
      <name val="Times New Roman"/>
      <family val="1"/>
    </font>
    <font>
      <b/>
      <sz val="14"/>
      <color indexed="8"/>
      <name val="Courier"/>
      <family val="3"/>
    </font>
    <font>
      <b/>
      <sz val="14"/>
      <name val="Times New Roman"/>
      <family val="1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2"/>
      <color indexed="8"/>
      <name val="Courier"/>
      <family val="3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20"/>
      <name val="Courier"/>
      <family val="3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Courier"/>
      <family val="3"/>
    </font>
    <font>
      <sz val="10"/>
      <color indexed="9"/>
      <name val="Courier"/>
      <family val="3"/>
    </font>
    <font>
      <sz val="10"/>
      <color indexed="9"/>
      <name val="Times New Roman"/>
      <family val="1"/>
    </font>
    <font>
      <sz val="8"/>
      <name val="Courie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left"/>
    </xf>
    <xf numFmtId="0" fontId="7" fillId="0" borderId="0" xfId="0" applyFont="1"/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fill"/>
    </xf>
    <xf numFmtId="0" fontId="8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fill"/>
    </xf>
    <xf numFmtId="0" fontId="10" fillId="0" borderId="0" xfId="0" applyFont="1"/>
    <xf numFmtId="0" fontId="6" fillId="2" borderId="1" xfId="0" applyFont="1" applyFill="1" applyBorder="1" applyAlignment="1" applyProtection="1">
      <alignment horizontal="center"/>
    </xf>
    <xf numFmtId="0" fontId="9" fillId="0" borderId="0" xfId="0" applyFont="1"/>
    <xf numFmtId="0" fontId="6" fillId="2" borderId="2" xfId="0" applyFont="1" applyFill="1" applyBorder="1" applyAlignment="1" applyProtection="1">
      <alignment horizontal="fill"/>
    </xf>
    <xf numFmtId="0" fontId="6" fillId="2" borderId="3" xfId="0" applyFont="1" applyFill="1" applyBorder="1" applyAlignment="1" applyProtection="1">
      <alignment horizontal="fill"/>
    </xf>
    <xf numFmtId="0" fontId="6" fillId="2" borderId="4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fill"/>
    </xf>
    <xf numFmtId="0" fontId="6" fillId="2" borderId="4" xfId="0" applyFont="1" applyFill="1" applyBorder="1" applyAlignment="1" applyProtection="1">
      <alignment horizontal="fill"/>
    </xf>
    <xf numFmtId="0" fontId="2" fillId="0" borderId="0" xfId="0" applyFont="1" applyAlignment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fill"/>
    </xf>
    <xf numFmtId="0" fontId="11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166" fontId="11" fillId="2" borderId="7" xfId="0" applyNumberFormat="1" applyFont="1" applyFill="1" applyBorder="1" applyAlignment="1" applyProtection="1">
      <alignment horizontal="center"/>
    </xf>
    <xf numFmtId="166" fontId="9" fillId="0" borderId="0" xfId="0" applyNumberFormat="1" applyFont="1" applyAlignment="1">
      <alignment horizontal="center"/>
    </xf>
    <xf numFmtId="166" fontId="2" fillId="0" borderId="0" xfId="0" applyNumberFormat="1" applyFont="1"/>
    <xf numFmtId="0" fontId="17" fillId="0" borderId="0" xfId="0" applyFont="1"/>
    <xf numFmtId="0" fontId="6" fillId="3" borderId="9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2" fillId="0" borderId="10" xfId="0" applyFont="1" applyBorder="1"/>
    <xf numFmtId="4" fontId="2" fillId="0" borderId="0" xfId="0" applyNumberFormat="1" applyFont="1"/>
    <xf numFmtId="176" fontId="6" fillId="3" borderId="5" xfId="2" applyNumberFormat="1" applyFont="1" applyFill="1" applyBorder="1" applyAlignment="1" applyProtection="1">
      <alignment horizontal="center"/>
    </xf>
    <xf numFmtId="176" fontId="6" fillId="3" borderId="1" xfId="2" applyNumberFormat="1" applyFont="1" applyFill="1" applyBorder="1" applyAlignment="1" applyProtection="1">
      <alignment horizontal="center"/>
    </xf>
    <xf numFmtId="176" fontId="6" fillId="3" borderId="3" xfId="2" applyNumberFormat="1" applyFont="1" applyFill="1" applyBorder="1" applyAlignment="1" applyProtection="1">
      <alignment horizontal="center"/>
    </xf>
    <xf numFmtId="0" fontId="2" fillId="2" borderId="0" xfId="0" applyFont="1" applyFill="1"/>
    <xf numFmtId="0" fontId="19" fillId="2" borderId="11" xfId="0" applyFont="1" applyFill="1" applyBorder="1" applyAlignment="1">
      <alignment horizontal="centerContinuous"/>
    </xf>
    <xf numFmtId="0" fontId="5" fillId="2" borderId="12" xfId="0" applyFont="1" applyFill="1" applyBorder="1" applyAlignment="1">
      <alignment horizontal="centerContinuous"/>
    </xf>
    <xf numFmtId="0" fontId="20" fillId="2" borderId="12" xfId="0" applyFont="1" applyFill="1" applyBorder="1" applyAlignment="1">
      <alignment horizontal="centerContinuous"/>
    </xf>
    <xf numFmtId="0" fontId="5" fillId="2" borderId="12" xfId="0" applyFont="1" applyFill="1" applyBorder="1" applyAlignment="1" applyProtection="1">
      <alignment horizontal="centerContinuous"/>
    </xf>
    <xf numFmtId="0" fontId="21" fillId="2" borderId="13" xfId="0" applyFont="1" applyFill="1" applyBorder="1" applyAlignment="1">
      <alignment horizontal="centerContinuous"/>
    </xf>
    <xf numFmtId="0" fontId="19" fillId="2" borderId="1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2" fillId="2" borderId="15" xfId="0" applyFont="1" applyFill="1" applyBorder="1"/>
    <xf numFmtId="0" fontId="19" fillId="2" borderId="14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3" fillId="2" borderId="15" xfId="0" applyFont="1" applyFill="1" applyBorder="1" applyAlignment="1">
      <alignment horizontal="centerContinuous"/>
    </xf>
    <xf numFmtId="0" fontId="19" fillId="2" borderId="16" xfId="0" applyFont="1" applyFill="1" applyBorder="1" applyAlignment="1" applyProtection="1">
      <alignment horizontal="centerContinuous"/>
    </xf>
    <xf numFmtId="0" fontId="24" fillId="2" borderId="17" xfId="0" applyFont="1" applyFill="1" applyBorder="1" applyAlignment="1">
      <alignment horizontal="centerContinuous"/>
    </xf>
    <xf numFmtId="0" fontId="23" fillId="2" borderId="18" xfId="0" applyFont="1" applyFill="1" applyBorder="1" applyAlignment="1">
      <alignment horizontal="centerContinuous"/>
    </xf>
    <xf numFmtId="0" fontId="2" fillId="2" borderId="14" xfId="0" applyFont="1" applyFill="1" applyBorder="1"/>
    <xf numFmtId="0" fontId="2" fillId="2" borderId="0" xfId="0" applyFont="1" applyFill="1" applyBorder="1"/>
    <xf numFmtId="0" fontId="0" fillId="2" borderId="15" xfId="0" applyFont="1" applyFill="1" applyBorder="1"/>
    <xf numFmtId="0" fontId="12" fillId="2" borderId="19" xfId="0" applyFont="1" applyFill="1" applyBorder="1" applyAlignment="1" applyProtection="1">
      <alignment horizontal="left"/>
    </xf>
    <xf numFmtId="0" fontId="12" fillId="2" borderId="20" xfId="0" applyFont="1" applyFill="1" applyBorder="1"/>
    <xf numFmtId="0" fontId="6" fillId="2" borderId="20" xfId="0" applyFont="1" applyFill="1" applyBorder="1"/>
    <xf numFmtId="0" fontId="0" fillId="2" borderId="13" xfId="0" applyFont="1" applyFill="1" applyBorder="1"/>
    <xf numFmtId="0" fontId="12" fillId="2" borderId="21" xfId="0" applyFont="1" applyFill="1" applyBorder="1" applyAlignment="1">
      <alignment horizontal="centerContinuous"/>
    </xf>
    <xf numFmtId="0" fontId="12" fillId="2" borderId="14" xfId="0" applyFont="1" applyFill="1" applyBorder="1" applyAlignment="1" applyProtection="1">
      <alignment horizontal="left"/>
    </xf>
    <xf numFmtId="0" fontId="12" fillId="2" borderId="0" xfId="0" applyFont="1" applyFill="1" applyBorder="1"/>
    <xf numFmtId="0" fontId="17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/>
    <xf numFmtId="0" fontId="12" fillId="2" borderId="20" xfId="0" applyFont="1" applyFill="1" applyBorder="1" applyAlignment="1" applyProtection="1">
      <alignment horizontal="left"/>
    </xf>
    <xf numFmtId="0" fontId="12" fillId="2" borderId="22" xfId="0" applyFont="1" applyFill="1" applyBorder="1"/>
    <xf numFmtId="0" fontId="12" fillId="2" borderId="0" xfId="0" applyFont="1" applyFill="1" applyBorder="1" applyAlignment="1" applyProtection="1">
      <alignment horizontal="left"/>
    </xf>
    <xf numFmtId="0" fontId="12" fillId="2" borderId="15" xfId="0" applyFont="1" applyFill="1" applyBorder="1"/>
    <xf numFmtId="0" fontId="6" fillId="2" borderId="14" xfId="0" applyFont="1" applyFill="1" applyBorder="1" applyAlignment="1" applyProtection="1">
      <alignment horizontal="left"/>
    </xf>
    <xf numFmtId="37" fontId="6" fillId="2" borderId="0" xfId="0" applyNumberFormat="1" applyFont="1" applyFill="1" applyBorder="1" applyProtection="1"/>
    <xf numFmtId="9" fontId="12" fillId="2" borderId="0" xfId="1" applyFont="1" applyFill="1" applyBorder="1" applyAlignment="1">
      <alignment horizontal="left"/>
    </xf>
    <xf numFmtId="0" fontId="6" fillId="2" borderId="16" xfId="0" applyFont="1" applyFill="1" applyBorder="1" applyAlignment="1" applyProtection="1">
      <alignment horizontal="left"/>
    </xf>
    <xf numFmtId="20" fontId="6" fillId="2" borderId="17" xfId="0" applyNumberFormat="1" applyFont="1" applyFill="1" applyBorder="1" applyProtection="1"/>
    <xf numFmtId="0" fontId="6" fillId="2" borderId="17" xfId="0" applyFont="1" applyFill="1" applyBorder="1" applyAlignment="1" applyProtection="1">
      <alignment horizontal="center"/>
    </xf>
    <xf numFmtId="0" fontId="6" fillId="2" borderId="17" xfId="0" applyFont="1" applyFill="1" applyBorder="1" applyAlignment="1">
      <alignment horizontal="center"/>
    </xf>
    <xf numFmtId="39" fontId="6" fillId="2" borderId="17" xfId="0" applyNumberFormat="1" applyFont="1" applyFill="1" applyBorder="1" applyProtection="1"/>
    <xf numFmtId="0" fontId="6" fillId="2" borderId="17" xfId="0" applyFont="1" applyFill="1" applyBorder="1"/>
    <xf numFmtId="39" fontId="6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37" fontId="12" fillId="2" borderId="0" xfId="0" applyNumberFormat="1" applyFont="1" applyFill="1" applyBorder="1" applyAlignment="1" applyProtection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2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/>
    <xf numFmtId="20" fontId="6" fillId="2" borderId="17" xfId="0" applyNumberFormat="1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fill"/>
    </xf>
    <xf numFmtId="0" fontId="12" fillId="2" borderId="15" xfId="0" applyFont="1" applyFill="1" applyBorder="1" applyAlignment="1" applyProtection="1">
      <alignment horizontal="fill"/>
    </xf>
    <xf numFmtId="0" fontId="6" fillId="2" borderId="24" xfId="0" applyFont="1" applyFill="1" applyBorder="1"/>
    <xf numFmtId="0" fontId="6" fillId="2" borderId="8" xfId="0" applyFont="1" applyFill="1" applyBorder="1"/>
    <xf numFmtId="0" fontId="6" fillId="2" borderId="25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6" xfId="0" applyFont="1" applyFill="1" applyBorder="1"/>
    <xf numFmtId="0" fontId="0" fillId="2" borderId="21" xfId="0" applyFont="1" applyFill="1" applyBorder="1"/>
    <xf numFmtId="0" fontId="12" fillId="2" borderId="15" xfId="0" applyFont="1" applyFill="1" applyBorder="1" applyAlignment="1" applyProtection="1">
      <alignment horizontal="center"/>
    </xf>
    <xf numFmtId="0" fontId="6" fillId="2" borderId="1" xfId="0" applyFont="1" applyFill="1" applyBorder="1"/>
    <xf numFmtId="0" fontId="6" fillId="2" borderId="24" xfId="0" applyFont="1" applyFill="1" applyBorder="1" applyAlignment="1" applyProtection="1">
      <alignment horizontal="fill"/>
    </xf>
    <xf numFmtId="0" fontId="6" fillId="2" borderId="8" xfId="0" applyFont="1" applyFill="1" applyBorder="1" applyAlignment="1" applyProtection="1">
      <alignment horizontal="fill"/>
    </xf>
    <xf numFmtId="0" fontId="6" fillId="2" borderId="26" xfId="0" applyFont="1" applyFill="1" applyBorder="1" applyAlignment="1" applyProtection="1">
      <alignment horizontal="fill"/>
    </xf>
    <xf numFmtId="0" fontId="6" fillId="2" borderId="4" xfId="0" applyFont="1" applyFill="1" applyBorder="1"/>
    <xf numFmtId="0" fontId="6" fillId="2" borderId="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22" fillId="2" borderId="0" xfId="0" applyFont="1" applyFill="1" applyBorder="1"/>
    <xf numFmtId="0" fontId="6" fillId="2" borderId="10" xfId="0" applyFont="1" applyFill="1" applyBorder="1"/>
    <xf numFmtId="39" fontId="6" fillId="2" borderId="1" xfId="0" applyNumberFormat="1" applyFont="1" applyFill="1" applyBorder="1" applyProtection="1"/>
    <xf numFmtId="37" fontId="6" fillId="2" borderId="1" xfId="0" applyNumberFormat="1" applyFont="1" applyFill="1" applyBorder="1" applyAlignment="1" applyProtection="1">
      <alignment horizontal="center"/>
    </xf>
    <xf numFmtId="178" fontId="6" fillId="2" borderId="1" xfId="0" applyNumberFormat="1" applyFont="1" applyFill="1" applyBorder="1" applyAlignment="1" applyProtection="1">
      <alignment horizontal="center"/>
    </xf>
    <xf numFmtId="39" fontId="6" fillId="2" borderId="1" xfId="0" applyNumberFormat="1" applyFont="1" applyFill="1" applyBorder="1" applyAlignment="1" applyProtection="1">
      <alignment horizontal="center"/>
    </xf>
    <xf numFmtId="179" fontId="6" fillId="2" borderId="10" xfId="0" applyNumberFormat="1" applyFont="1" applyFill="1" applyBorder="1" applyAlignment="1" applyProtection="1">
      <alignment horizontal="center"/>
    </xf>
    <xf numFmtId="10" fontId="14" fillId="2" borderId="15" xfId="1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 applyProtection="1">
      <alignment horizontal="left"/>
    </xf>
    <xf numFmtId="179" fontId="6" fillId="2" borderId="1" xfId="0" applyNumberFormat="1" applyFont="1" applyFill="1" applyBorder="1" applyAlignment="1" applyProtection="1">
      <alignment horizontal="center"/>
    </xf>
    <xf numFmtId="37" fontId="12" fillId="2" borderId="4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39" fontId="12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left"/>
    </xf>
    <xf numFmtId="178" fontId="12" fillId="2" borderId="1" xfId="0" applyNumberFormat="1" applyFont="1" applyFill="1" applyBorder="1" applyAlignment="1" applyProtection="1">
      <alignment horizontal="center"/>
    </xf>
    <xf numFmtId="39" fontId="12" fillId="2" borderId="10" xfId="0" applyNumberFormat="1" applyFont="1" applyFill="1" applyBorder="1" applyAlignment="1" applyProtection="1">
      <alignment horizontal="center"/>
    </xf>
    <xf numFmtId="10" fontId="25" fillId="2" borderId="15" xfId="1" applyNumberFormat="1" applyFont="1" applyFill="1" applyBorder="1" applyAlignment="1" applyProtection="1">
      <alignment horizontal="center"/>
    </xf>
    <xf numFmtId="39" fontId="6" fillId="2" borderId="4" xfId="0" applyNumberFormat="1" applyFont="1" applyFill="1" applyBorder="1" applyAlignment="1" applyProtection="1">
      <alignment horizontal="center"/>
    </xf>
    <xf numFmtId="37" fontId="12" fillId="2" borderId="1" xfId="0" applyNumberFormat="1" applyFont="1" applyFill="1" applyBorder="1" applyAlignment="1" applyProtection="1">
      <alignment horizontal="center"/>
    </xf>
    <xf numFmtId="37" fontId="6" fillId="2" borderId="4" xfId="0" applyNumberFormat="1" applyFont="1" applyFill="1" applyBorder="1" applyAlignment="1" applyProtection="1">
      <alignment horizontal="center"/>
    </xf>
    <xf numFmtId="39" fontId="6" fillId="2" borderId="10" xfId="0" applyNumberFormat="1" applyFont="1" applyFill="1" applyBorder="1" applyAlignment="1" applyProtection="1">
      <alignment horizontal="center"/>
    </xf>
    <xf numFmtId="2" fontId="2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9" xfId="0" applyFont="1" applyFill="1" applyBorder="1" applyAlignment="1" applyProtection="1">
      <alignment horizontal="left"/>
    </xf>
    <xf numFmtId="0" fontId="22" fillId="2" borderId="20" xfId="0" applyFont="1" applyFill="1" applyBorder="1"/>
    <xf numFmtId="10" fontId="14" fillId="2" borderId="27" xfId="1" applyNumberFormat="1" applyFont="1" applyFill="1" applyBorder="1" applyAlignment="1">
      <alignment horizontal="center"/>
    </xf>
    <xf numFmtId="39" fontId="6" fillId="2" borderId="4" xfId="0" applyNumberFormat="1" applyFont="1" applyFill="1" applyBorder="1" applyProtection="1"/>
    <xf numFmtId="178" fontId="6" fillId="2" borderId="1" xfId="0" applyNumberFormat="1" applyFont="1" applyFill="1" applyBorder="1" applyProtection="1"/>
    <xf numFmtId="0" fontId="6" fillId="2" borderId="10" xfId="0" applyFont="1" applyFill="1" applyBorder="1" applyAlignment="1">
      <alignment horizontal="center"/>
    </xf>
    <xf numFmtId="0" fontId="6" fillId="2" borderId="19" xfId="0" applyFont="1" applyFill="1" applyBorder="1"/>
    <xf numFmtId="39" fontId="12" fillId="2" borderId="15" xfId="0" applyNumberFormat="1" applyFont="1" applyFill="1" applyBorder="1" applyProtection="1"/>
    <xf numFmtId="0" fontId="6" fillId="2" borderId="14" xfId="0" applyFont="1" applyFill="1" applyBorder="1" applyAlignment="1" applyProtection="1">
      <alignment horizontal="fill"/>
    </xf>
    <xf numFmtId="0" fontId="6" fillId="2" borderId="0" xfId="0" applyFont="1" applyFill="1" applyBorder="1" applyAlignment="1" applyProtection="1">
      <alignment horizontal="fill"/>
    </xf>
    <xf numFmtId="180" fontId="6" fillId="2" borderId="1" xfId="0" applyNumberFormat="1" applyFont="1" applyFill="1" applyBorder="1" applyAlignment="1" applyProtection="1">
      <alignment horizontal="center"/>
    </xf>
    <xf numFmtId="10" fontId="25" fillId="2" borderId="27" xfId="1" applyNumberFormat="1" applyFont="1" applyFill="1" applyBorder="1" applyAlignment="1" applyProtection="1">
      <alignment horizontal="center"/>
    </xf>
    <xf numFmtId="0" fontId="6" fillId="2" borderId="14" xfId="0" applyFont="1" applyFill="1" applyBorder="1"/>
    <xf numFmtId="180" fontId="12" fillId="2" borderId="1" xfId="0" applyNumberFormat="1" applyFont="1" applyFill="1" applyBorder="1" applyAlignment="1" applyProtection="1">
      <alignment horizontal="center"/>
    </xf>
    <xf numFmtId="181" fontId="12" fillId="2" borderId="1" xfId="0" applyNumberFormat="1" applyFont="1" applyFill="1" applyBorder="1" applyAlignment="1" applyProtection="1">
      <alignment horizontal="center"/>
    </xf>
    <xf numFmtId="1" fontId="12" fillId="2" borderId="10" xfId="0" applyNumberFormat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left"/>
    </xf>
    <xf numFmtId="179" fontId="12" fillId="2" borderId="1" xfId="0" applyNumberFormat="1" applyFont="1" applyFill="1" applyBorder="1" applyAlignment="1" applyProtection="1">
      <alignment horizontal="center"/>
    </xf>
    <xf numFmtId="39" fontId="6" fillId="2" borderId="0" xfId="0" applyNumberFormat="1" applyFont="1" applyFill="1" applyBorder="1" applyAlignment="1" applyProtection="1">
      <alignment horizontal="centerContinuous"/>
    </xf>
    <xf numFmtId="0" fontId="6" fillId="2" borderId="16" xfId="0" applyFont="1" applyFill="1" applyBorder="1" applyAlignment="1" applyProtection="1">
      <alignment horizontal="fill"/>
    </xf>
    <xf numFmtId="0" fontId="6" fillId="2" borderId="17" xfId="0" applyFont="1" applyFill="1" applyBorder="1" applyAlignment="1" applyProtection="1">
      <alignment horizontal="fill"/>
    </xf>
    <xf numFmtId="39" fontId="6" fillId="2" borderId="9" xfId="0" applyNumberFormat="1" applyFont="1" applyFill="1" applyBorder="1" applyProtection="1"/>
    <xf numFmtId="0" fontId="2" fillId="2" borderId="10" xfId="0" applyFont="1" applyFill="1" applyBorder="1"/>
    <xf numFmtId="180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0" fontId="0" fillId="2" borderId="15" xfId="0" applyNumberFormat="1" applyFont="1" applyFill="1" applyBorder="1"/>
    <xf numFmtId="2" fontId="12" fillId="2" borderId="10" xfId="0" applyNumberFormat="1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fill"/>
    </xf>
    <xf numFmtId="0" fontId="6" fillId="2" borderId="28" xfId="0" applyFont="1" applyFill="1" applyBorder="1" applyAlignment="1" applyProtection="1">
      <alignment horizontal="left"/>
    </xf>
    <xf numFmtId="0" fontId="22" fillId="2" borderId="29" xfId="0" applyFont="1" applyFill="1" applyBorder="1"/>
    <xf numFmtId="0" fontId="6" fillId="2" borderId="29" xfId="0" applyFont="1" applyFill="1" applyBorder="1"/>
    <xf numFmtId="0" fontId="6" fillId="2" borderId="7" xfId="0" applyFont="1" applyFill="1" applyBorder="1"/>
    <xf numFmtId="0" fontId="0" fillId="2" borderId="22" xfId="0" applyFont="1" applyFill="1" applyBorder="1"/>
    <xf numFmtId="0" fontId="6" fillId="2" borderId="8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left"/>
    </xf>
    <xf numFmtId="39" fontId="6" fillId="2" borderId="29" xfId="0" applyNumberFormat="1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left"/>
    </xf>
    <xf numFmtId="0" fontId="22" fillId="2" borderId="5" xfId="0" applyFont="1" applyFill="1" applyBorder="1"/>
    <xf numFmtId="10" fontId="12" fillId="2" borderId="15" xfId="1" applyNumberFormat="1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Continuous"/>
    </xf>
    <xf numFmtId="0" fontId="19" fillId="2" borderId="20" xfId="0" applyFont="1" applyFill="1" applyBorder="1" applyAlignment="1">
      <alignment horizontal="centerContinuous"/>
    </xf>
    <xf numFmtId="0" fontId="22" fillId="2" borderId="9" xfId="0" applyFont="1" applyFill="1" applyBorder="1"/>
    <xf numFmtId="179" fontId="6" fillId="2" borderId="1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12" fillId="2" borderId="21" xfId="0" applyFont="1" applyFill="1" applyBorder="1" applyAlignment="1" applyProtection="1">
      <alignment horizontal="center"/>
    </xf>
    <xf numFmtId="0" fontId="22" fillId="2" borderId="3" xfId="0" applyFont="1" applyFill="1" applyBorder="1"/>
    <xf numFmtId="39" fontId="6" fillId="2" borderId="9" xfId="0" applyNumberFormat="1" applyFont="1" applyFill="1" applyBorder="1" applyAlignment="1" applyProtection="1">
      <alignment horizontal="center"/>
    </xf>
    <xf numFmtId="39" fontId="6" fillId="3" borderId="1" xfId="0" applyNumberFormat="1" applyFont="1" applyFill="1" applyBorder="1" applyAlignment="1" applyProtection="1">
      <alignment horizontal="center"/>
      <protection locked="0"/>
    </xf>
    <xf numFmtId="39" fontId="25" fillId="2" borderId="15" xfId="0" applyNumberFormat="1" applyFont="1" applyFill="1" applyBorder="1" applyProtection="1"/>
    <xf numFmtId="0" fontId="6" fillId="2" borderId="16" xfId="0" applyFont="1" applyFill="1" applyBorder="1"/>
    <xf numFmtId="39" fontId="6" fillId="2" borderId="8" xfId="0" applyNumberFormat="1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left"/>
    </xf>
    <xf numFmtId="0" fontId="6" fillId="2" borderId="28" xfId="0" applyFont="1" applyFill="1" applyBorder="1"/>
    <xf numFmtId="179" fontId="6" fillId="2" borderId="6" xfId="0" applyNumberFormat="1" applyFont="1" applyFill="1" applyBorder="1" applyAlignment="1" applyProtection="1">
      <alignment horizontal="center"/>
    </xf>
    <xf numFmtId="10" fontId="9" fillId="2" borderId="27" xfId="1" applyNumberFormat="1" applyFont="1" applyFill="1" applyBorder="1" applyAlignment="1">
      <alignment horizontal="center"/>
    </xf>
    <xf numFmtId="39" fontId="15" fillId="2" borderId="1" xfId="0" applyNumberFormat="1" applyFont="1" applyFill="1" applyBorder="1" applyAlignment="1" applyProtection="1">
      <alignment horizontal="center"/>
    </xf>
    <xf numFmtId="39" fontId="6" fillId="2" borderId="1" xfId="0" applyNumberFormat="1" applyFont="1" applyFill="1" applyBorder="1" applyAlignment="1">
      <alignment horizontal="center"/>
    </xf>
    <xf numFmtId="0" fontId="19" fillId="2" borderId="11" xfId="0" applyFont="1" applyFill="1" applyBorder="1" applyAlignment="1" applyProtection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6" fillId="2" borderId="30" xfId="0" applyFont="1" applyFill="1" applyBorder="1" applyAlignment="1" applyProtection="1">
      <alignment horizontal="centerContinuous"/>
    </xf>
    <xf numFmtId="0" fontId="6" fillId="2" borderId="31" xfId="0" applyFont="1" applyFill="1" applyBorder="1" applyAlignment="1" applyProtection="1">
      <alignment horizontal="centerContinuous"/>
    </xf>
    <xf numFmtId="0" fontId="6" fillId="2" borderId="12" xfId="0" applyFont="1" applyFill="1" applyBorder="1" applyAlignment="1" applyProtection="1">
      <alignment horizontal="left"/>
    </xf>
    <xf numFmtId="0" fontId="6" fillId="2" borderId="12" xfId="0" applyFont="1" applyFill="1" applyBorder="1"/>
    <xf numFmtId="39" fontId="6" fillId="2" borderId="12" xfId="0" applyNumberFormat="1" applyFont="1" applyFill="1" applyBorder="1" applyProtection="1"/>
    <xf numFmtId="10" fontId="9" fillId="2" borderId="32" xfId="1" applyNumberFormat="1" applyFont="1" applyFill="1" applyBorder="1" applyAlignment="1">
      <alignment horizontal="center"/>
    </xf>
    <xf numFmtId="39" fontId="12" fillId="3" borderId="1" xfId="0" applyNumberFormat="1" applyFont="1" applyFill="1" applyBorder="1" applyAlignment="1" applyProtection="1">
      <alignment horizontal="center"/>
      <protection locked="0"/>
    </xf>
    <xf numFmtId="16" fontId="3" fillId="2" borderId="14" xfId="0" quotePrefix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39" fontId="3" fillId="2" borderId="0" xfId="0" applyNumberFormat="1" applyFont="1" applyFill="1" applyBorder="1" applyProtection="1"/>
    <xf numFmtId="0" fontId="0" fillId="2" borderId="18" xfId="0" applyFont="1" applyFill="1" applyBorder="1"/>
    <xf numFmtId="0" fontId="6" fillId="2" borderId="30" xfId="0" applyFont="1" applyFill="1" applyBorder="1"/>
    <xf numFmtId="0" fontId="6" fillId="2" borderId="33" xfId="0" applyFont="1" applyFill="1" applyBorder="1"/>
    <xf numFmtId="39" fontId="6" fillId="2" borderId="34" xfId="0" applyNumberFormat="1" applyFont="1" applyFill="1" applyBorder="1" applyAlignment="1" applyProtection="1">
      <alignment horizontal="center"/>
    </xf>
    <xf numFmtId="0" fontId="6" fillId="2" borderId="34" xfId="0" applyFont="1" applyFill="1" applyBorder="1"/>
    <xf numFmtId="0" fontId="6" fillId="2" borderId="34" xfId="0" applyFont="1" applyFill="1" applyBorder="1" applyAlignment="1" applyProtection="1">
      <alignment horizontal="left"/>
    </xf>
    <xf numFmtId="0" fontId="6" fillId="2" borderId="35" xfId="0" applyFont="1" applyFill="1" applyBorder="1" applyAlignment="1" applyProtection="1">
      <alignment horizontal="left"/>
    </xf>
    <xf numFmtId="0" fontId="6" fillId="2" borderId="36" xfId="0" applyFont="1" applyFill="1" applyBorder="1"/>
    <xf numFmtId="39" fontId="6" fillId="2" borderId="37" xfId="0" applyNumberFormat="1" applyFont="1" applyFill="1" applyBorder="1" applyAlignment="1" applyProtection="1">
      <alignment horizontal="center"/>
    </xf>
    <xf numFmtId="10" fontId="12" fillId="2" borderId="38" xfId="1" applyNumberFormat="1" applyFont="1" applyFill="1" applyBorder="1" applyAlignment="1" applyProtection="1">
      <alignment horizontal="center"/>
    </xf>
    <xf numFmtId="0" fontId="6" fillId="2" borderId="31" xfId="0" applyFont="1" applyFill="1" applyBorder="1"/>
    <xf numFmtId="16" fontId="17" fillId="2" borderId="30" xfId="0" quotePrefix="1" applyNumberFormat="1" applyFont="1" applyFill="1" applyBorder="1" applyAlignment="1" applyProtection="1">
      <alignment horizontal="center"/>
    </xf>
    <xf numFmtId="0" fontId="17" fillId="2" borderId="31" xfId="0" applyFont="1" applyFill="1" applyBorder="1" applyAlignment="1" applyProtection="1">
      <alignment horizontal="left"/>
    </xf>
    <xf numFmtId="0" fontId="17" fillId="2" borderId="31" xfId="0" applyFont="1" applyFill="1" applyBorder="1"/>
    <xf numFmtId="171" fontId="17" fillId="2" borderId="31" xfId="2" applyFont="1" applyFill="1" applyBorder="1" applyProtection="1"/>
    <xf numFmtId="10" fontId="9" fillId="2" borderId="32" xfId="0" applyNumberFormat="1" applyFont="1" applyFill="1" applyBorder="1"/>
    <xf numFmtId="0" fontId="22" fillId="0" borderId="0" xfId="0" applyFont="1"/>
    <xf numFmtId="0" fontId="26" fillId="0" borderId="0" xfId="0" applyFont="1"/>
    <xf numFmtId="39" fontId="26" fillId="0" borderId="0" xfId="0" applyNumberFormat="1" applyFont="1" applyProtection="1"/>
    <xf numFmtId="179" fontId="26" fillId="0" borderId="0" xfId="0" applyNumberFormat="1" applyFont="1" applyProtection="1"/>
    <xf numFmtId="39" fontId="3" fillId="0" borderId="0" xfId="0" applyNumberFormat="1" applyFont="1" applyProtection="1"/>
    <xf numFmtId="0" fontId="26" fillId="0" borderId="0" xfId="0" applyFont="1" applyAlignment="1" applyProtection="1">
      <alignment horizontal="fill"/>
    </xf>
    <xf numFmtId="171" fontId="27" fillId="0" borderId="0" xfId="2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fill"/>
    </xf>
    <xf numFmtId="10" fontId="7" fillId="0" borderId="0" xfId="1" applyNumberFormat="1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39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left"/>
    </xf>
    <xf numFmtId="39" fontId="4" fillId="0" borderId="0" xfId="0" applyNumberFormat="1" applyFont="1" applyProtection="1"/>
    <xf numFmtId="10" fontId="4" fillId="0" borderId="0" xfId="1" applyNumberFormat="1" applyFont="1" applyProtection="1"/>
    <xf numFmtId="10" fontId="2" fillId="0" borderId="0" xfId="1" applyNumberFormat="1" applyFont="1" applyProtection="1"/>
    <xf numFmtId="0" fontId="2" fillId="0" borderId="0" xfId="0" applyFont="1" applyAlignment="1" applyProtection="1">
      <alignment horizontal="fill"/>
    </xf>
    <xf numFmtId="0" fontId="6" fillId="2" borderId="24" xfId="0" applyFont="1" applyFill="1" applyBorder="1" applyAlignment="1">
      <alignment horizontal="center"/>
    </xf>
    <xf numFmtId="0" fontId="22" fillId="2" borderId="1" xfId="0" applyFont="1" applyFill="1" applyBorder="1"/>
    <xf numFmtId="179" fontId="6" fillId="2" borderId="10" xfId="0" applyNumberFormat="1" applyFont="1" applyFill="1" applyBorder="1" applyProtection="1"/>
    <xf numFmtId="0" fontId="6" fillId="2" borderId="10" xfId="0" applyFont="1" applyFill="1" applyBorder="1" applyAlignment="1" applyProtection="1">
      <alignment horizontal="fill"/>
    </xf>
    <xf numFmtId="39" fontId="6" fillId="2" borderId="10" xfId="0" applyNumberFormat="1" applyFont="1" applyFill="1" applyBorder="1" applyProtection="1"/>
    <xf numFmtId="39" fontId="6" fillId="2" borderId="8" xfId="0" applyNumberFormat="1" applyFont="1" applyFill="1" applyBorder="1" applyProtection="1"/>
    <xf numFmtId="39" fontId="6" fillId="2" borderId="26" xfId="0" applyNumberFormat="1" applyFont="1" applyFill="1" applyBorder="1" applyProtection="1"/>
    <xf numFmtId="0" fontId="22" fillId="2" borderId="19" xfId="0" applyFont="1" applyFill="1" applyBorder="1"/>
    <xf numFmtId="0" fontId="6" fillId="2" borderId="20" xfId="0" applyFont="1" applyFill="1" applyBorder="1" applyAlignment="1">
      <alignment horizontal="centerContinuous"/>
    </xf>
    <xf numFmtId="0" fontId="22" fillId="2" borderId="20" xfId="0" applyFont="1" applyFill="1" applyBorder="1" applyAlignment="1">
      <alignment horizontal="centerContinuous"/>
    </xf>
    <xf numFmtId="39" fontId="6" fillId="2" borderId="20" xfId="0" applyNumberFormat="1" applyFont="1" applyFill="1" applyBorder="1" applyAlignment="1" applyProtection="1">
      <alignment horizontal="centerContinuous"/>
    </xf>
    <xf numFmtId="16" fontId="12" fillId="2" borderId="30" xfId="0" quotePrefix="1" applyNumberFormat="1" applyFont="1" applyFill="1" applyBorder="1" applyAlignment="1" applyProtection="1">
      <alignment horizontal="center"/>
    </xf>
    <xf numFmtId="0" fontId="12" fillId="2" borderId="31" xfId="0" applyFont="1" applyFill="1" applyBorder="1" applyAlignment="1" applyProtection="1">
      <alignment horizontal="left"/>
    </xf>
    <xf numFmtId="0" fontId="12" fillId="2" borderId="31" xfId="0" applyFont="1" applyFill="1" applyBorder="1"/>
    <xf numFmtId="171" fontId="12" fillId="2" borderId="31" xfId="2" applyFont="1" applyFill="1" applyBorder="1" applyProtection="1"/>
    <xf numFmtId="16" fontId="21" fillId="2" borderId="39" xfId="0" quotePrefix="1" applyNumberFormat="1" applyFont="1" applyFill="1" applyBorder="1" applyAlignment="1" applyProtection="1">
      <alignment horizontal="center"/>
    </xf>
    <xf numFmtId="0" fontId="21" fillId="2" borderId="40" xfId="0" applyFont="1" applyFill="1" applyBorder="1" applyAlignment="1" applyProtection="1">
      <alignment horizontal="left"/>
    </xf>
    <xf numFmtId="0" fontId="12" fillId="2" borderId="40" xfId="0" applyFont="1" applyFill="1" applyBorder="1"/>
    <xf numFmtId="0" fontId="12" fillId="2" borderId="40" xfId="0" applyFont="1" applyFill="1" applyBorder="1" applyAlignment="1" applyProtection="1">
      <alignment horizontal="left"/>
    </xf>
    <xf numFmtId="0" fontId="14" fillId="2" borderId="40" xfId="0" applyFont="1" applyFill="1" applyBorder="1"/>
    <xf numFmtId="0" fontId="14" fillId="2" borderId="41" xfId="0" applyFont="1" applyFill="1" applyBorder="1"/>
    <xf numFmtId="171" fontId="29" fillId="2" borderId="42" xfId="2" applyFont="1" applyFill="1" applyBorder="1" applyProtection="1"/>
    <xf numFmtId="0" fontId="21" fillId="2" borderId="4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/>
    <xf numFmtId="3" fontId="12" fillId="2" borderId="12" xfId="0" applyNumberFormat="1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3" xfId="0" applyFont="1" applyFill="1" applyBorder="1"/>
    <xf numFmtId="0" fontId="12" fillId="2" borderId="1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44" xfId="0" applyFont="1" applyFill="1" applyBorder="1"/>
    <xf numFmtId="0" fontId="2" fillId="2" borderId="44" xfId="0" applyFont="1" applyFill="1" applyBorder="1"/>
    <xf numFmtId="0" fontId="12" fillId="2" borderId="44" xfId="0" applyFont="1" applyFill="1" applyBorder="1" applyAlignment="1">
      <alignment horizontal="center"/>
    </xf>
    <xf numFmtId="0" fontId="2" fillId="2" borderId="40" xfId="0" applyFont="1" applyFill="1" applyBorder="1"/>
    <xf numFmtId="39" fontId="12" fillId="2" borderId="41" xfId="0" applyNumberFormat="1" applyFont="1" applyFill="1" applyBorder="1" applyAlignment="1">
      <alignment horizontal="center"/>
    </xf>
    <xf numFmtId="0" fontId="14" fillId="0" borderId="0" xfId="0" applyFont="1"/>
    <xf numFmtId="0" fontId="5" fillId="2" borderId="45" xfId="0" applyFont="1" applyFill="1" applyBorder="1" applyAlignment="1">
      <alignment horizontal="centerContinuous"/>
    </xf>
    <xf numFmtId="181" fontId="12" fillId="3" borderId="1" xfId="0" applyNumberFormat="1" applyFont="1" applyFill="1" applyBorder="1" applyAlignment="1" applyProtection="1">
      <alignment horizontal="center"/>
      <protection locked="0"/>
    </xf>
    <xf numFmtId="0" fontId="12" fillId="2" borderId="39" xfId="0" applyFont="1" applyFill="1" applyBorder="1"/>
    <xf numFmtId="0" fontId="2" fillId="3" borderId="0" xfId="0" applyFont="1" applyFill="1"/>
    <xf numFmtId="39" fontId="2" fillId="0" borderId="0" xfId="0" applyNumberFormat="1" applyFont="1"/>
    <xf numFmtId="0" fontId="6" fillId="3" borderId="0" xfId="0" applyFont="1" applyFill="1" applyBorder="1"/>
    <xf numFmtId="39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10" fontId="12" fillId="3" borderId="0" xfId="1" applyNumberFormat="1" applyFont="1" applyFill="1" applyBorder="1" applyAlignment="1" applyProtection="1">
      <alignment horizontal="center"/>
    </xf>
    <xf numFmtId="0" fontId="2" fillId="2" borderId="46" xfId="0" applyFont="1" applyFill="1" applyBorder="1"/>
    <xf numFmtId="39" fontId="12" fillId="2" borderId="0" xfId="0" applyNumberFormat="1" applyFont="1" applyFill="1" applyBorder="1" applyAlignment="1" applyProtection="1">
      <alignment horizontal="center"/>
    </xf>
    <xf numFmtId="180" fontId="6" fillId="2" borderId="0" xfId="0" applyNumberFormat="1" applyFont="1" applyFill="1" applyBorder="1" applyAlignment="1" applyProtection="1">
      <alignment horizontal="center"/>
    </xf>
    <xf numFmtId="39" fontId="6" fillId="2" borderId="0" xfId="0" applyNumberFormat="1" applyFont="1" applyFill="1" applyBorder="1" applyAlignment="1" applyProtection="1">
      <alignment horizontal="center"/>
    </xf>
    <xf numFmtId="178" fontId="12" fillId="2" borderId="1" xfId="0" applyNumberFormat="1" applyFont="1" applyFill="1" applyBorder="1" applyProtection="1"/>
    <xf numFmtId="39" fontId="12" fillId="2" borderId="1" xfId="0" applyNumberFormat="1" applyFont="1" applyFill="1" applyBorder="1" applyProtection="1"/>
    <xf numFmtId="39" fontId="12" fillId="2" borderId="10" xfId="0" applyNumberFormat="1" applyFont="1" applyFill="1" applyBorder="1" applyProtection="1"/>
    <xf numFmtId="181" fontId="12" fillId="2" borderId="1" xfId="0" applyNumberFormat="1" applyFont="1" applyFill="1" applyBorder="1" applyAlignment="1" applyProtection="1">
      <alignment horizontal="right"/>
    </xf>
    <xf numFmtId="0" fontId="31" fillId="0" borderId="28" xfId="0" applyFont="1" applyBorder="1" applyAlignment="1">
      <alignment horizontal="centerContinuous" vertical="center"/>
    </xf>
    <xf numFmtId="0" fontId="32" fillId="0" borderId="29" xfId="0" applyFont="1" applyBorder="1" applyAlignment="1">
      <alignment horizontal="centerContinuous" vertical="center"/>
    </xf>
    <xf numFmtId="0" fontId="33" fillId="0" borderId="29" xfId="0" applyFont="1" applyBorder="1" applyAlignment="1">
      <alignment horizontal="centerContinuous" vertical="center"/>
    </xf>
    <xf numFmtId="0" fontId="33" fillId="0" borderId="7" xfId="0" applyFont="1" applyBorder="1" applyAlignment="1">
      <alignment horizontal="centerContinuous" vertical="center"/>
    </xf>
    <xf numFmtId="0" fontId="34" fillId="0" borderId="0" xfId="0" applyFont="1"/>
    <xf numFmtId="0" fontId="33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3" fillId="0" borderId="20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3" xfId="0" applyFont="1" applyBorder="1" applyAlignment="1">
      <alignment horizontal="centerContinuous" vertical="center"/>
    </xf>
    <xf numFmtId="0" fontId="33" fillId="0" borderId="29" xfId="0" applyFont="1" applyBorder="1"/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/>
    <xf numFmtId="0" fontId="33" fillId="0" borderId="0" xfId="0" applyFont="1" applyBorder="1" applyAlignment="1"/>
    <xf numFmtId="10" fontId="33" fillId="0" borderId="1" xfId="1" applyNumberFormat="1" applyFont="1" applyFill="1" applyBorder="1" applyAlignment="1">
      <alignment horizontal="centerContinuous"/>
    </xf>
    <xf numFmtId="0" fontId="33" fillId="0" borderId="10" xfId="0" applyFont="1" applyFill="1" applyBorder="1"/>
    <xf numFmtId="0" fontId="33" fillId="0" borderId="0" xfId="0" applyFont="1" applyBorder="1"/>
    <xf numFmtId="0" fontId="33" fillId="0" borderId="10" xfId="0" applyFont="1" applyBorder="1"/>
    <xf numFmtId="10" fontId="33" fillId="0" borderId="1" xfId="1" applyNumberFormat="1" applyFont="1" applyBorder="1" applyAlignment="1">
      <alignment horizontal="centerContinuous"/>
    </xf>
    <xf numFmtId="0" fontId="33" fillId="0" borderId="28" xfId="0" applyFont="1" applyBorder="1" applyAlignment="1">
      <alignment vertical="center"/>
    </xf>
    <xf numFmtId="10" fontId="33" fillId="0" borderId="6" xfId="1" applyNumberFormat="1" applyFont="1" applyBorder="1" applyAlignment="1">
      <alignment horizontal="centerContinuous" vertical="center"/>
    </xf>
    <xf numFmtId="0" fontId="33" fillId="0" borderId="29" xfId="0" quotePrefix="1" applyFont="1" applyBorder="1"/>
    <xf numFmtId="0" fontId="33" fillId="0" borderId="29" xfId="0" applyFont="1" applyBorder="1" applyAlignment="1">
      <alignment horizontal="centerContinuous"/>
    </xf>
    <xf numFmtId="0" fontId="33" fillId="0" borderId="7" xfId="0" applyFont="1" applyBorder="1" applyAlignment="1">
      <alignment horizontal="centerContinuous"/>
    </xf>
    <xf numFmtId="0" fontId="33" fillId="0" borderId="2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25" xfId="0" applyFont="1" applyBorder="1" applyAlignment="1">
      <alignment horizontal="center" vertical="center"/>
    </xf>
    <xf numFmtId="0" fontId="33" fillId="0" borderId="10" xfId="0" quotePrefix="1" applyFont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3" fillId="0" borderId="26" xfId="0" applyFont="1" applyBorder="1"/>
    <xf numFmtId="0" fontId="33" fillId="0" borderId="17" xfId="0" applyFont="1" applyBorder="1"/>
    <xf numFmtId="0" fontId="33" fillId="0" borderId="17" xfId="0" quotePrefix="1" applyFont="1" applyBorder="1"/>
    <xf numFmtId="0" fontId="33" fillId="0" borderId="17" xfId="0" applyFont="1" applyBorder="1" applyAlignment="1">
      <alignment horizontal="centerContinuous"/>
    </xf>
    <xf numFmtId="0" fontId="32" fillId="0" borderId="29" xfId="0" quotePrefix="1" applyFont="1" applyBorder="1" applyAlignment="1">
      <alignment horizontal="left" vertical="center"/>
    </xf>
    <xf numFmtId="0" fontId="33" fillId="0" borderId="10" xfId="0" applyFont="1" applyBorder="1" applyAlignment="1">
      <alignment horizontal="left"/>
    </xf>
    <xf numFmtId="0" fontId="33" fillId="0" borderId="10" xfId="0" quotePrefix="1" applyFont="1" applyBorder="1" applyAlignment="1">
      <alignment horizontal="left"/>
    </xf>
    <xf numFmtId="9" fontId="34" fillId="0" borderId="0" xfId="0" applyNumberFormat="1" applyFont="1"/>
    <xf numFmtId="0" fontId="33" fillId="0" borderId="9" xfId="0" applyFont="1" applyBorder="1"/>
    <xf numFmtId="0" fontId="33" fillId="0" borderId="20" xfId="0" applyFont="1" applyBorder="1"/>
    <xf numFmtId="0" fontId="33" fillId="0" borderId="3" xfId="0" applyFont="1" applyFill="1" applyBorder="1" applyAlignment="1">
      <alignment horizontal="center"/>
    </xf>
    <xf numFmtId="10" fontId="33" fillId="0" borderId="1" xfId="1" applyNumberFormat="1" applyFont="1" applyFill="1" applyBorder="1" applyAlignment="1">
      <alignment horizontal="centerContinuous" vertical="center"/>
    </xf>
    <xf numFmtId="0" fontId="33" fillId="0" borderId="17" xfId="0" applyFont="1" applyBorder="1" applyAlignment="1"/>
    <xf numFmtId="39" fontId="33" fillId="0" borderId="8" xfId="0" applyNumberFormat="1" applyFont="1" applyFill="1" applyBorder="1" applyAlignment="1">
      <alignment horizontal="centerContinuous"/>
    </xf>
    <xf numFmtId="39" fontId="6" fillId="2" borderId="1" xfId="0" applyNumberFormat="1" applyFont="1" applyFill="1" applyBorder="1" applyAlignment="1" applyProtection="1">
      <alignment horizontal="center"/>
      <protection locked="0"/>
    </xf>
    <xf numFmtId="166" fontId="13" fillId="4" borderId="7" xfId="0" applyNumberFormat="1" applyFont="1" applyFill="1" applyBorder="1" applyAlignment="1" applyProtection="1">
      <alignment horizontal="center"/>
    </xf>
    <xf numFmtId="39" fontId="6" fillId="2" borderId="0" xfId="0" applyNumberFormat="1" applyFont="1" applyFill="1" applyBorder="1"/>
    <xf numFmtId="0" fontId="6" fillId="2" borderId="11" xfId="0" quotePrefix="1" applyFont="1" applyFill="1" applyBorder="1" applyAlignment="1" applyProtection="1">
      <alignment horizontal="center"/>
    </xf>
    <xf numFmtId="0" fontId="6" fillId="2" borderId="14" xfId="0" quotePrefix="1" applyFont="1" applyFill="1" applyBorder="1" applyAlignment="1" applyProtection="1">
      <alignment horizontal="center"/>
    </xf>
    <xf numFmtId="178" fontId="6" fillId="2" borderId="0" xfId="0" applyNumberFormat="1" applyFont="1" applyFill="1" applyBorder="1" applyProtection="1"/>
    <xf numFmtId="39" fontId="12" fillId="2" borderId="0" xfId="0" applyNumberFormat="1" applyFont="1" applyFill="1" applyBorder="1" applyProtection="1"/>
    <xf numFmtId="181" fontId="12" fillId="2" borderId="0" xfId="0" applyNumberFormat="1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horizontal="left"/>
    </xf>
    <xf numFmtId="178" fontId="12" fillId="2" borderId="0" xfId="0" applyNumberFormat="1" applyFont="1" applyFill="1" applyBorder="1" applyProtection="1"/>
    <xf numFmtId="39" fontId="12" fillId="3" borderId="4" xfId="0" applyNumberFormat="1" applyFont="1" applyFill="1" applyBorder="1" applyAlignment="1" applyProtection="1">
      <alignment horizontal="center"/>
      <protection locked="0"/>
    </xf>
    <xf numFmtId="37" fontId="12" fillId="3" borderId="4" xfId="0" applyNumberFormat="1" applyFont="1" applyFill="1" applyBorder="1" applyAlignment="1" applyProtection="1">
      <alignment horizontal="center"/>
      <protection locked="0"/>
    </xf>
    <xf numFmtId="39" fontId="6" fillId="3" borderId="4" xfId="0" applyNumberFormat="1" applyFont="1" applyFill="1" applyBorder="1" applyAlignment="1" applyProtection="1">
      <alignment horizontal="center"/>
      <protection locked="0"/>
    </xf>
    <xf numFmtId="37" fontId="6" fillId="3" borderId="4" xfId="0" applyNumberFormat="1" applyFont="1" applyFill="1" applyBorder="1" applyAlignment="1" applyProtection="1">
      <alignment horizontal="center"/>
      <protection locked="0"/>
    </xf>
    <xf numFmtId="37" fontId="6" fillId="3" borderId="1" xfId="0" applyNumberFormat="1" applyFont="1" applyFill="1" applyBorder="1" applyAlignment="1" applyProtection="1">
      <alignment horizontal="center"/>
      <protection locked="0"/>
    </xf>
    <xf numFmtId="187" fontId="6" fillId="3" borderId="4" xfId="0" applyNumberFormat="1" applyFont="1" applyFill="1" applyBorder="1" applyAlignment="1" applyProtection="1">
      <alignment horizontal="center"/>
      <protection locked="0"/>
    </xf>
    <xf numFmtId="2" fontId="36" fillId="3" borderId="0" xfId="0" applyNumberFormat="1" applyFont="1" applyFill="1" applyAlignment="1">
      <alignment horizontal="center"/>
    </xf>
    <xf numFmtId="2" fontId="37" fillId="3" borderId="0" xfId="0" applyNumberFormat="1" applyFont="1" applyFill="1" applyBorder="1" applyAlignment="1">
      <alignment horizontal="center"/>
    </xf>
    <xf numFmtId="0" fontId="36" fillId="3" borderId="0" xfId="0" applyFont="1" applyFill="1" applyAlignment="1">
      <alignment horizontal="center"/>
    </xf>
    <xf numFmtId="200" fontId="30" fillId="2" borderId="41" xfId="0" applyNumberFormat="1" applyFont="1" applyFill="1" applyBorder="1" applyAlignment="1">
      <alignment horizontal="center"/>
    </xf>
    <xf numFmtId="166" fontId="6" fillId="2" borderId="5" xfId="0" applyNumberFormat="1" applyFont="1" applyFill="1" applyBorder="1" applyAlignment="1" applyProtection="1">
      <alignment horizontal="center"/>
    </xf>
    <xf numFmtId="0" fontId="6" fillId="3" borderId="10" xfId="0" quotePrefix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6" fillId="2" borderId="26" xfId="0" applyFont="1" applyFill="1" applyBorder="1" applyAlignment="1" applyProtection="1">
      <alignment horizontal="center"/>
    </xf>
    <xf numFmtId="175" fontId="6" fillId="3" borderId="23" xfId="0" applyNumberFormat="1" applyFont="1" applyFill="1" applyBorder="1" applyAlignment="1" applyProtection="1">
      <alignment horizontal="center"/>
    </xf>
    <xf numFmtId="166" fontId="6" fillId="3" borderId="5" xfId="0" applyNumberFormat="1" applyFont="1" applyFill="1" applyBorder="1" applyAlignment="1" applyProtection="1">
      <alignment horizontal="center"/>
    </xf>
    <xf numFmtId="175" fontId="6" fillId="3" borderId="5" xfId="0" applyNumberFormat="1" applyFont="1" applyFill="1" applyBorder="1" applyAlignment="1" applyProtection="1">
      <alignment horizontal="center"/>
    </xf>
    <xf numFmtId="175" fontId="6" fillId="3" borderId="3" xfId="0" applyNumberFormat="1" applyFont="1" applyFill="1" applyBorder="1" applyAlignment="1" applyProtection="1">
      <alignment horizontal="center"/>
    </xf>
    <xf numFmtId="166" fontId="6" fillId="3" borderId="1" xfId="0" applyNumberFormat="1" applyFont="1" applyFill="1" applyBorder="1" applyAlignment="1" applyProtection="1">
      <alignment horizontal="center"/>
    </xf>
    <xf numFmtId="175" fontId="6" fillId="3" borderId="1" xfId="0" applyNumberFormat="1" applyFont="1" applyFill="1" applyBorder="1" applyAlignment="1" applyProtection="1">
      <alignment horizontal="center"/>
    </xf>
    <xf numFmtId="37" fontId="6" fillId="3" borderId="3" xfId="0" applyNumberFormat="1" applyFont="1" applyFill="1" applyBorder="1" applyAlignment="1" applyProtection="1">
      <alignment horizontal="center"/>
    </xf>
    <xf numFmtId="175" fontId="6" fillId="3" borderId="3" xfId="0" applyNumberFormat="1" applyFont="1" applyFill="1" applyBorder="1" applyAlignment="1" applyProtection="1"/>
    <xf numFmtId="175" fontId="6" fillId="3" borderId="1" xfId="0" applyNumberFormat="1" applyFont="1" applyFill="1" applyBorder="1" applyAlignment="1" applyProtection="1"/>
    <xf numFmtId="175" fontId="6" fillId="3" borderId="10" xfId="0" applyNumberFormat="1" applyFont="1" applyFill="1" applyBorder="1" applyAlignment="1" applyProtection="1">
      <alignment horizontal="center"/>
    </xf>
    <xf numFmtId="166" fontId="6" fillId="3" borderId="10" xfId="0" applyNumberFormat="1" applyFont="1" applyFill="1" applyBorder="1" applyAlignment="1" applyProtection="1">
      <alignment horizontal="center"/>
    </xf>
    <xf numFmtId="166" fontId="6" fillId="3" borderId="8" xfId="0" applyNumberFormat="1" applyFont="1" applyFill="1" applyBorder="1" applyAlignment="1" applyProtection="1">
      <alignment horizontal="center"/>
    </xf>
    <xf numFmtId="175" fontId="6" fillId="3" borderId="9" xfId="0" applyNumberFormat="1" applyFont="1" applyFill="1" applyBorder="1" applyAlignment="1" applyProtection="1">
      <alignment horizontal="center"/>
    </xf>
    <xf numFmtId="0" fontId="2" fillId="0" borderId="9" xfId="0" applyFont="1" applyBorder="1" applyProtection="1"/>
    <xf numFmtId="0" fontId="12" fillId="0" borderId="3" xfId="0" applyFont="1" applyBorder="1" applyAlignment="1" applyProtection="1">
      <alignment horizontal="center"/>
    </xf>
    <xf numFmtId="166" fontId="6" fillId="3" borderId="3" xfId="0" applyNumberFormat="1" applyFont="1" applyFill="1" applyBorder="1" applyAlignment="1" applyProtection="1">
      <alignment horizontal="center"/>
    </xf>
    <xf numFmtId="166" fontId="6" fillId="3" borderId="9" xfId="0" applyNumberFormat="1" applyFont="1" applyFill="1" applyBorder="1" applyAlignment="1" applyProtection="1">
      <alignment horizontal="center"/>
    </xf>
    <xf numFmtId="166" fontId="12" fillId="0" borderId="3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175" fontId="6" fillId="3" borderId="20" xfId="0" applyNumberFormat="1" applyFont="1" applyFill="1" applyBorder="1" applyAlignment="1" applyProtection="1">
      <alignment horizontal="center"/>
    </xf>
    <xf numFmtId="0" fontId="6" fillId="3" borderId="23" xfId="0" applyFont="1" applyFill="1" applyBorder="1" applyAlignment="1" applyProtection="1">
      <alignment horizontal="center"/>
    </xf>
    <xf numFmtId="37" fontId="6" fillId="3" borderId="0" xfId="0" applyNumberFormat="1" applyFont="1" applyFill="1" applyBorder="1" applyAlignment="1" applyProtection="1">
      <alignment horizontal="center"/>
    </xf>
    <xf numFmtId="166" fontId="12" fillId="3" borderId="1" xfId="0" applyNumberFormat="1" applyFont="1" applyFill="1" applyBorder="1" applyAlignment="1" applyProtection="1">
      <alignment horizontal="center"/>
    </xf>
    <xf numFmtId="166" fontId="12" fillId="3" borderId="5" xfId="0" applyNumberFormat="1" applyFont="1" applyFill="1" applyBorder="1" applyAlignment="1" applyProtection="1">
      <alignment horizontal="center"/>
    </xf>
    <xf numFmtId="166" fontId="6" fillId="3" borderId="5" xfId="2" applyNumberFormat="1" applyFont="1" applyFill="1" applyBorder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/>
    </xf>
    <xf numFmtId="166" fontId="12" fillId="0" borderId="5" xfId="0" applyNumberFormat="1" applyFont="1" applyBorder="1" applyAlignment="1" applyProtection="1">
      <alignment horizontal="center"/>
    </xf>
    <xf numFmtId="166" fontId="6" fillId="3" borderId="5" xfId="2" applyNumberFormat="1" applyFont="1" applyFill="1" applyBorder="1" applyAlignment="1" applyProtection="1"/>
    <xf numFmtId="0" fontId="9" fillId="0" borderId="1" xfId="0" applyFont="1" applyBorder="1" applyAlignment="1" applyProtection="1">
      <alignment horizontal="center"/>
    </xf>
    <xf numFmtId="175" fontId="6" fillId="3" borderId="0" xfId="0" applyNumberFormat="1" applyFont="1" applyFill="1" applyBorder="1" applyAlignment="1" applyProtection="1">
      <alignment horizontal="center"/>
    </xf>
    <xf numFmtId="166" fontId="6" fillId="3" borderId="25" xfId="0" applyNumberFormat="1" applyFont="1" applyFill="1" applyBorder="1" applyAlignment="1" applyProtection="1">
      <alignment horizontal="center"/>
    </xf>
    <xf numFmtId="39" fontId="12" fillId="3" borderId="1" xfId="0" applyNumberFormat="1" applyFont="1" applyFill="1" applyBorder="1" applyAlignment="1" applyProtection="1">
      <alignment horizontal="center"/>
    </xf>
    <xf numFmtId="0" fontId="2" fillId="5" borderId="0" xfId="0" applyFont="1" applyFill="1"/>
    <xf numFmtId="0" fontId="19" fillId="5" borderId="11" xfId="0" applyFont="1" applyFill="1" applyBorder="1" applyAlignment="1">
      <alignment horizontal="centerContinuous"/>
    </xf>
    <xf numFmtId="0" fontId="5" fillId="5" borderId="12" xfId="0" applyFont="1" applyFill="1" applyBorder="1" applyAlignment="1">
      <alignment horizontal="centerContinuous"/>
    </xf>
    <xf numFmtId="0" fontId="20" fillId="5" borderId="12" xfId="0" applyFont="1" applyFill="1" applyBorder="1" applyAlignment="1">
      <alignment horizontal="centerContinuous"/>
    </xf>
    <xf numFmtId="0" fontId="5" fillId="5" borderId="12" xfId="0" applyFont="1" applyFill="1" applyBorder="1" applyAlignment="1" applyProtection="1">
      <alignment horizontal="centerContinuous"/>
    </xf>
    <xf numFmtId="0" fontId="21" fillId="5" borderId="13" xfId="0" applyFont="1" applyFill="1" applyBorder="1" applyAlignment="1">
      <alignment horizontal="centerContinuous"/>
    </xf>
    <xf numFmtId="0" fontId="19" fillId="5" borderId="14" xfId="0" applyFont="1" applyFill="1" applyBorder="1" applyAlignment="1">
      <alignment horizontal="centerContinuous"/>
    </xf>
    <xf numFmtId="0" fontId="5" fillId="5" borderId="0" xfId="0" applyFont="1" applyFill="1" applyBorder="1" applyAlignment="1">
      <alignment horizontal="centerContinuous"/>
    </xf>
    <xf numFmtId="0" fontId="5" fillId="5" borderId="0" xfId="0" applyFont="1" applyFill="1" applyBorder="1" applyAlignment="1" applyProtection="1">
      <alignment horizontal="centerContinuous"/>
    </xf>
    <xf numFmtId="0" fontId="2" fillId="5" borderId="15" xfId="0" applyFont="1" applyFill="1" applyBorder="1"/>
    <xf numFmtId="0" fontId="19" fillId="5" borderId="14" xfId="0" applyFont="1" applyFill="1" applyBorder="1" applyAlignment="1" applyProtection="1">
      <alignment horizontal="centerContinuous"/>
    </xf>
    <xf numFmtId="0" fontId="6" fillId="5" borderId="0" xfId="0" applyFont="1" applyFill="1" applyBorder="1" applyAlignment="1">
      <alignment horizontal="centerContinuous"/>
    </xf>
    <xf numFmtId="0" fontId="22" fillId="5" borderId="0" xfId="0" applyFont="1" applyFill="1" applyBorder="1" applyAlignment="1">
      <alignment horizontal="centerContinuous"/>
    </xf>
    <xf numFmtId="0" fontId="23" fillId="5" borderId="15" xfId="0" applyFont="1" applyFill="1" applyBorder="1" applyAlignment="1">
      <alignment horizontal="centerContinuous"/>
    </xf>
    <xf numFmtId="0" fontId="19" fillId="5" borderId="16" xfId="0" applyFont="1" applyFill="1" applyBorder="1" applyAlignment="1" applyProtection="1">
      <alignment horizontal="centerContinuous"/>
    </xf>
    <xf numFmtId="0" fontId="24" fillId="5" borderId="17" xfId="0" applyFont="1" applyFill="1" applyBorder="1" applyAlignment="1">
      <alignment horizontal="centerContinuous"/>
    </xf>
    <xf numFmtId="0" fontId="23" fillId="5" borderId="18" xfId="0" applyFont="1" applyFill="1" applyBorder="1" applyAlignment="1">
      <alignment horizontal="centerContinuous"/>
    </xf>
    <xf numFmtId="0" fontId="2" fillId="5" borderId="14" xfId="0" applyFont="1" applyFill="1" applyBorder="1"/>
    <xf numFmtId="0" fontId="2" fillId="5" borderId="0" xfId="0" applyFont="1" applyFill="1" applyBorder="1"/>
    <xf numFmtId="0" fontId="0" fillId="5" borderId="15" xfId="0" applyFont="1" applyFill="1" applyBorder="1"/>
    <xf numFmtId="0" fontId="12" fillId="5" borderId="19" xfId="0" applyFont="1" applyFill="1" applyBorder="1" applyAlignment="1" applyProtection="1">
      <alignment horizontal="left"/>
    </xf>
    <xf numFmtId="0" fontId="12" fillId="5" borderId="20" xfId="0" applyFont="1" applyFill="1" applyBorder="1"/>
    <xf numFmtId="0" fontId="6" fillId="5" borderId="20" xfId="0" applyFont="1" applyFill="1" applyBorder="1"/>
    <xf numFmtId="0" fontId="0" fillId="5" borderId="13" xfId="0" applyFont="1" applyFill="1" applyBorder="1"/>
    <xf numFmtId="0" fontId="12" fillId="5" borderId="21" xfId="0" applyFont="1" applyFill="1" applyBorder="1" applyAlignment="1">
      <alignment horizontal="centerContinuous"/>
    </xf>
    <xf numFmtId="0" fontId="12" fillId="5" borderId="14" xfId="0" applyFont="1" applyFill="1" applyBorder="1" applyAlignment="1" applyProtection="1">
      <alignment horizontal="left"/>
    </xf>
    <xf numFmtId="0" fontId="12" fillId="5" borderId="0" xfId="0" applyFont="1" applyFill="1" applyBorder="1"/>
    <xf numFmtId="0" fontId="17" fillId="5" borderId="0" xfId="0" applyFont="1" applyFill="1" applyBorder="1"/>
    <xf numFmtId="0" fontId="9" fillId="5" borderId="0" xfId="0" applyFont="1" applyFill="1" applyBorder="1"/>
    <xf numFmtId="0" fontId="6" fillId="5" borderId="0" xfId="0" applyFont="1" applyFill="1" applyBorder="1"/>
    <xf numFmtId="0" fontId="12" fillId="5" borderId="20" xfId="0" applyFont="1" applyFill="1" applyBorder="1" applyAlignment="1" applyProtection="1">
      <alignment horizontal="left"/>
    </xf>
    <xf numFmtId="0" fontId="12" fillId="5" borderId="22" xfId="0" applyFont="1" applyFill="1" applyBorder="1"/>
    <xf numFmtId="0" fontId="12" fillId="5" borderId="0" xfId="0" applyFont="1" applyFill="1" applyBorder="1" applyAlignment="1" applyProtection="1">
      <alignment horizontal="left"/>
    </xf>
    <xf numFmtId="0" fontId="12" fillId="5" borderId="15" xfId="0" applyFont="1" applyFill="1" applyBorder="1"/>
    <xf numFmtId="0" fontId="6" fillId="5" borderId="14" xfId="0" applyFont="1" applyFill="1" applyBorder="1" applyAlignment="1" applyProtection="1">
      <alignment horizontal="left"/>
    </xf>
    <xf numFmtId="37" fontId="6" fillId="5" borderId="0" xfId="0" applyNumberFormat="1" applyFont="1" applyFill="1" applyBorder="1" applyProtection="1"/>
    <xf numFmtId="9" fontId="12" fillId="5" borderId="0" xfId="1" applyFont="1" applyFill="1" applyBorder="1" applyAlignment="1">
      <alignment horizontal="left"/>
    </xf>
    <xf numFmtId="0" fontId="6" fillId="5" borderId="16" xfId="0" applyFont="1" applyFill="1" applyBorder="1" applyAlignment="1" applyProtection="1">
      <alignment horizontal="left"/>
    </xf>
    <xf numFmtId="20" fontId="6" fillId="5" borderId="17" xfId="0" applyNumberFormat="1" applyFont="1" applyFill="1" applyBorder="1" applyProtection="1"/>
    <xf numFmtId="0" fontId="6" fillId="5" borderId="17" xfId="0" applyFont="1" applyFill="1" applyBorder="1" applyAlignment="1" applyProtection="1">
      <alignment horizontal="center"/>
    </xf>
    <xf numFmtId="0" fontId="6" fillId="5" borderId="17" xfId="0" applyFont="1" applyFill="1" applyBorder="1" applyAlignment="1">
      <alignment horizontal="center"/>
    </xf>
    <xf numFmtId="39" fontId="6" fillId="5" borderId="17" xfId="0" applyNumberFormat="1" applyFont="1" applyFill="1" applyBorder="1" applyProtection="1"/>
    <xf numFmtId="0" fontId="6" fillId="5" borderId="17" xfId="0" applyFont="1" applyFill="1" applyBorder="1"/>
    <xf numFmtId="39" fontId="6" fillId="5" borderId="0" xfId="0" applyNumberFormat="1" applyFont="1" applyFill="1" applyBorder="1" applyProtection="1"/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>
      <alignment horizontal="center"/>
    </xf>
    <xf numFmtId="37" fontId="12" fillId="5" borderId="0" xfId="0" applyNumberFormat="1" applyFont="1" applyFill="1" applyBorder="1" applyAlignment="1" applyProtection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6" fillId="5" borderId="23" xfId="0" applyFont="1" applyFill="1" applyBorder="1"/>
    <xf numFmtId="0" fontId="6" fillId="5" borderId="3" xfId="0" applyFont="1" applyFill="1" applyBorder="1" applyAlignment="1">
      <alignment horizontal="center"/>
    </xf>
    <xf numFmtId="0" fontId="6" fillId="5" borderId="9" xfId="0" applyFont="1" applyFill="1" applyBorder="1"/>
    <xf numFmtId="20" fontId="6" fillId="5" borderId="17" xfId="0" applyNumberFormat="1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fill"/>
    </xf>
    <xf numFmtId="0" fontId="6" fillId="5" borderId="3" xfId="0" applyFont="1" applyFill="1" applyBorder="1" applyAlignment="1" applyProtection="1">
      <alignment horizontal="fill"/>
    </xf>
    <xf numFmtId="0" fontId="6" fillId="5" borderId="9" xfId="0" applyFont="1" applyFill="1" applyBorder="1" applyAlignment="1" applyProtection="1">
      <alignment horizontal="fill"/>
    </xf>
    <xf numFmtId="0" fontId="12" fillId="5" borderId="15" xfId="0" applyFont="1" applyFill="1" applyBorder="1" applyAlignment="1" applyProtection="1">
      <alignment horizontal="fill"/>
    </xf>
    <xf numFmtId="0" fontId="6" fillId="5" borderId="24" xfId="0" applyFont="1" applyFill="1" applyBorder="1"/>
    <xf numFmtId="0" fontId="6" fillId="5" borderId="8" xfId="0" applyFont="1" applyFill="1" applyBorder="1"/>
    <xf numFmtId="0" fontId="6" fillId="5" borderId="25" xfId="0" applyFont="1" applyFill="1" applyBorder="1"/>
    <xf numFmtId="0" fontId="6" fillId="5" borderId="8" xfId="0" applyFont="1" applyFill="1" applyBorder="1" applyAlignment="1">
      <alignment horizontal="center"/>
    </xf>
    <xf numFmtId="0" fontId="6" fillId="5" borderId="26" xfId="0" applyFont="1" applyFill="1" applyBorder="1"/>
    <xf numFmtId="0" fontId="0" fillId="5" borderId="21" xfId="0" applyFont="1" applyFill="1" applyBorder="1"/>
    <xf numFmtId="0" fontId="12" fillId="5" borderId="15" xfId="0" applyFont="1" applyFill="1" applyBorder="1" applyAlignment="1" applyProtection="1">
      <alignment horizontal="center"/>
    </xf>
    <xf numFmtId="0" fontId="6" fillId="5" borderId="1" xfId="0" applyFont="1" applyFill="1" applyBorder="1"/>
    <xf numFmtId="0" fontId="6" fillId="5" borderId="24" xfId="0" applyFont="1" applyFill="1" applyBorder="1" applyAlignment="1" applyProtection="1">
      <alignment horizontal="fill"/>
    </xf>
    <xf numFmtId="0" fontId="6" fillId="5" borderId="8" xfId="0" applyFont="1" applyFill="1" applyBorder="1" applyAlignment="1" applyProtection="1">
      <alignment horizontal="fill"/>
    </xf>
    <xf numFmtId="0" fontId="6" fillId="5" borderId="26" xfId="0" applyFont="1" applyFill="1" applyBorder="1" applyAlignment="1" applyProtection="1">
      <alignment horizontal="fill"/>
    </xf>
    <xf numFmtId="0" fontId="6" fillId="5" borderId="4" xfId="0" applyFont="1" applyFill="1" applyBorder="1"/>
    <xf numFmtId="0" fontId="6" fillId="5" borderId="1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22" fillId="5" borderId="0" xfId="0" applyFont="1" applyFill="1" applyBorder="1"/>
    <xf numFmtId="0" fontId="6" fillId="5" borderId="10" xfId="0" applyFont="1" applyFill="1" applyBorder="1"/>
    <xf numFmtId="39" fontId="6" fillId="5" borderId="1" xfId="0" applyNumberFormat="1" applyFont="1" applyFill="1" applyBorder="1" applyProtection="1"/>
    <xf numFmtId="37" fontId="6" fillId="5" borderId="1" xfId="0" applyNumberFormat="1" applyFont="1" applyFill="1" applyBorder="1" applyAlignment="1" applyProtection="1">
      <alignment horizontal="center"/>
    </xf>
    <xf numFmtId="178" fontId="6" fillId="5" borderId="1" xfId="0" applyNumberFormat="1" applyFont="1" applyFill="1" applyBorder="1" applyAlignment="1" applyProtection="1">
      <alignment horizontal="center"/>
    </xf>
    <xf numFmtId="39" fontId="6" fillId="5" borderId="1" xfId="0" applyNumberFormat="1" applyFont="1" applyFill="1" applyBorder="1" applyAlignment="1" applyProtection="1">
      <alignment horizontal="center"/>
    </xf>
    <xf numFmtId="179" fontId="6" fillId="5" borderId="10" xfId="0" applyNumberFormat="1" applyFont="1" applyFill="1" applyBorder="1" applyAlignment="1" applyProtection="1">
      <alignment horizontal="center"/>
    </xf>
    <xf numFmtId="10" fontId="14" fillId="5" borderId="15" xfId="1" applyNumberFormat="1" applyFont="1" applyFill="1" applyBorder="1" applyAlignment="1">
      <alignment horizontal="center"/>
    </xf>
    <xf numFmtId="37" fontId="6" fillId="5" borderId="1" xfId="0" applyNumberFormat="1" applyFont="1" applyFill="1" applyBorder="1" applyAlignment="1" applyProtection="1">
      <alignment horizontal="left"/>
    </xf>
    <xf numFmtId="179" fontId="6" fillId="5" borderId="1" xfId="0" applyNumberFormat="1" applyFont="1" applyFill="1" applyBorder="1" applyAlignment="1" applyProtection="1">
      <alignment horizontal="center"/>
    </xf>
    <xf numFmtId="37" fontId="12" fillId="5" borderId="4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178" fontId="12" fillId="5" borderId="1" xfId="0" applyNumberFormat="1" applyFont="1" applyFill="1" applyBorder="1" applyAlignment="1" applyProtection="1">
      <alignment horizontal="center"/>
    </xf>
    <xf numFmtId="39" fontId="12" fillId="5" borderId="1" xfId="0" applyNumberFormat="1" applyFont="1" applyFill="1" applyBorder="1" applyAlignment="1" applyProtection="1">
      <alignment horizontal="center"/>
    </xf>
    <xf numFmtId="39" fontId="12" fillId="5" borderId="10" xfId="0" applyNumberFormat="1" applyFont="1" applyFill="1" applyBorder="1" applyAlignment="1" applyProtection="1">
      <alignment horizontal="center"/>
    </xf>
    <xf numFmtId="10" fontId="25" fillId="5" borderId="15" xfId="1" applyNumberFormat="1" applyFont="1" applyFill="1" applyBorder="1" applyAlignment="1" applyProtection="1">
      <alignment horizontal="center"/>
    </xf>
    <xf numFmtId="39" fontId="6" fillId="5" borderId="4" xfId="0" applyNumberFormat="1" applyFont="1" applyFill="1" applyBorder="1" applyAlignment="1" applyProtection="1">
      <alignment horizontal="center"/>
    </xf>
    <xf numFmtId="37" fontId="12" fillId="5" borderId="1" xfId="0" applyNumberFormat="1" applyFont="1" applyFill="1" applyBorder="1" applyAlignment="1" applyProtection="1">
      <alignment horizontal="center"/>
    </xf>
    <xf numFmtId="37" fontId="6" fillId="5" borderId="4" xfId="0" applyNumberFormat="1" applyFont="1" applyFill="1" applyBorder="1" applyAlignment="1" applyProtection="1">
      <alignment horizontal="center"/>
    </xf>
    <xf numFmtId="39" fontId="6" fillId="5" borderId="1" xfId="0" applyNumberFormat="1" applyFont="1" applyFill="1" applyBorder="1" applyAlignment="1" applyProtection="1">
      <alignment horizontal="center"/>
      <protection locked="0"/>
    </xf>
    <xf numFmtId="39" fontId="6" fillId="5" borderId="10" xfId="0" applyNumberFormat="1" applyFont="1" applyFill="1" applyBorder="1" applyAlignment="1" applyProtection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horizontal="left"/>
    </xf>
    <xf numFmtId="0" fontId="6" fillId="5" borderId="28" xfId="0" applyFont="1" applyFill="1" applyBorder="1" applyAlignment="1" applyProtection="1">
      <alignment horizontal="left"/>
    </xf>
    <xf numFmtId="0" fontId="22" fillId="5" borderId="29" xfId="0" applyFont="1" applyFill="1" applyBorder="1"/>
    <xf numFmtId="0" fontId="6" fillId="5" borderId="29" xfId="0" applyFont="1" applyFill="1" applyBorder="1"/>
    <xf numFmtId="0" fontId="6" fillId="5" borderId="7" xfId="0" applyFont="1" applyFill="1" applyBorder="1"/>
    <xf numFmtId="179" fontId="6" fillId="5" borderId="6" xfId="0" applyNumberFormat="1" applyFont="1" applyFill="1" applyBorder="1" applyAlignment="1" applyProtection="1">
      <alignment horizontal="center"/>
    </xf>
    <xf numFmtId="10" fontId="14" fillId="5" borderId="27" xfId="1" applyNumberFormat="1" applyFont="1" applyFill="1" applyBorder="1" applyAlignment="1">
      <alignment horizontal="center"/>
    </xf>
    <xf numFmtId="39" fontId="6" fillId="5" borderId="4" xfId="0" applyNumberFormat="1" applyFont="1" applyFill="1" applyBorder="1" applyProtection="1"/>
    <xf numFmtId="178" fontId="6" fillId="5" borderId="1" xfId="0" applyNumberFormat="1" applyFont="1" applyFill="1" applyBorder="1" applyProtection="1"/>
    <xf numFmtId="0" fontId="6" fillId="5" borderId="10" xfId="0" applyFont="1" applyFill="1" applyBorder="1" applyAlignment="1">
      <alignment horizontal="center"/>
    </xf>
    <xf numFmtId="0" fontId="22" fillId="5" borderId="1" xfId="0" applyFont="1" applyFill="1" applyBorder="1"/>
    <xf numFmtId="179" fontId="6" fillId="5" borderId="10" xfId="0" applyNumberFormat="1" applyFont="1" applyFill="1" applyBorder="1" applyProtection="1"/>
    <xf numFmtId="39" fontId="12" fillId="5" borderId="15" xfId="0" applyNumberFormat="1" applyFont="1" applyFill="1" applyBorder="1" applyProtection="1"/>
    <xf numFmtId="0" fontId="6" fillId="5" borderId="4" xfId="0" applyFont="1" applyFill="1" applyBorder="1" applyAlignment="1" applyProtection="1">
      <alignment horizontal="fill"/>
    </xf>
    <xf numFmtId="0" fontId="6" fillId="5" borderId="1" xfId="0" applyFont="1" applyFill="1" applyBorder="1" applyAlignment="1" applyProtection="1">
      <alignment horizontal="fill"/>
    </xf>
    <xf numFmtId="0" fontId="6" fillId="5" borderId="0" xfId="0" applyFont="1" applyFill="1" applyBorder="1" applyAlignment="1" applyProtection="1">
      <alignment horizontal="fill"/>
    </xf>
    <xf numFmtId="0" fontId="6" fillId="5" borderId="10" xfId="0" applyFont="1" applyFill="1" applyBorder="1" applyAlignment="1" applyProtection="1">
      <alignment horizontal="fill"/>
    </xf>
    <xf numFmtId="180" fontId="6" fillId="5" borderId="1" xfId="0" applyNumberFormat="1" applyFont="1" applyFill="1" applyBorder="1" applyAlignment="1" applyProtection="1">
      <alignment horizontal="center"/>
    </xf>
    <xf numFmtId="10" fontId="25" fillId="5" borderId="27" xfId="1" applyNumberFormat="1" applyFont="1" applyFill="1" applyBorder="1" applyAlignment="1" applyProtection="1">
      <alignment horizontal="center"/>
    </xf>
    <xf numFmtId="39" fontId="6" fillId="5" borderId="10" xfId="0" applyNumberFormat="1" applyFont="1" applyFill="1" applyBorder="1" applyProtection="1"/>
    <xf numFmtId="39" fontId="6" fillId="5" borderId="8" xfId="0" applyNumberFormat="1" applyFont="1" applyFill="1" applyBorder="1" applyProtection="1"/>
    <xf numFmtId="39" fontId="6" fillId="5" borderId="26" xfId="0" applyNumberFormat="1" applyFont="1" applyFill="1" applyBorder="1" applyProtection="1"/>
    <xf numFmtId="180" fontId="12" fillId="5" borderId="1" xfId="0" applyNumberFormat="1" applyFont="1" applyFill="1" applyBorder="1" applyAlignment="1" applyProtection="1">
      <alignment horizontal="center"/>
    </xf>
    <xf numFmtId="181" fontId="12" fillId="5" borderId="1" xfId="0" applyNumberFormat="1" applyFont="1" applyFill="1" applyBorder="1" applyAlignment="1" applyProtection="1">
      <alignment horizontal="center"/>
    </xf>
    <xf numFmtId="0" fontId="6" fillId="5" borderId="14" xfId="0" applyFont="1" applyFill="1" applyBorder="1"/>
    <xf numFmtId="2" fontId="12" fillId="5" borderId="10" xfId="0" applyNumberFormat="1" applyFont="1" applyFill="1" applyBorder="1" applyAlignment="1" applyProtection="1">
      <alignment horizontal="center"/>
    </xf>
    <xf numFmtId="0" fontId="12" fillId="5" borderId="5" xfId="0" applyFont="1" applyFill="1" applyBorder="1" applyAlignment="1" applyProtection="1">
      <alignment horizontal="left"/>
    </xf>
    <xf numFmtId="179" fontId="12" fillId="5" borderId="1" xfId="0" applyNumberFormat="1" applyFont="1" applyFill="1" applyBorder="1" applyAlignment="1" applyProtection="1">
      <alignment horizontal="center"/>
    </xf>
    <xf numFmtId="39" fontId="12" fillId="5" borderId="1" xfId="0" applyNumberFormat="1" applyFont="1" applyFill="1" applyBorder="1" applyProtection="1"/>
    <xf numFmtId="178" fontId="12" fillId="5" borderId="1" xfId="0" applyNumberFormat="1" applyFont="1" applyFill="1" applyBorder="1" applyProtection="1"/>
    <xf numFmtId="181" fontId="12" fillId="5" borderId="1" xfId="0" applyNumberFormat="1" applyFont="1" applyFill="1" applyBorder="1" applyAlignment="1" applyProtection="1">
      <alignment horizontal="right"/>
    </xf>
    <xf numFmtId="39" fontId="12" fillId="5" borderId="10" xfId="0" applyNumberFormat="1" applyFont="1" applyFill="1" applyBorder="1" applyProtection="1"/>
    <xf numFmtId="0" fontId="6" fillId="5" borderId="10" xfId="0" applyFont="1" applyFill="1" applyBorder="1" applyAlignment="1" applyProtection="1">
      <alignment horizontal="left"/>
    </xf>
    <xf numFmtId="39" fontId="6" fillId="5" borderId="1" xfId="0" applyNumberFormat="1" applyFont="1" applyFill="1" applyBorder="1" applyAlignment="1">
      <alignment horizontal="center"/>
    </xf>
    <xf numFmtId="0" fontId="22" fillId="5" borderId="19" xfId="0" applyFont="1" applyFill="1" applyBorder="1"/>
    <xf numFmtId="0" fontId="6" fillId="5" borderId="20" xfId="0" applyFont="1" applyFill="1" applyBorder="1" applyAlignment="1">
      <alignment horizontal="centerContinuous"/>
    </xf>
    <xf numFmtId="0" fontId="22" fillId="5" borderId="20" xfId="0" applyFont="1" applyFill="1" applyBorder="1" applyAlignment="1">
      <alignment horizontal="centerContinuous"/>
    </xf>
    <xf numFmtId="39" fontId="6" fillId="5" borderId="20" xfId="0" applyNumberFormat="1" applyFont="1" applyFill="1" applyBorder="1" applyAlignment="1" applyProtection="1">
      <alignment horizontal="centerContinuous"/>
    </xf>
    <xf numFmtId="39" fontId="6" fillId="5" borderId="0" xfId="0" applyNumberFormat="1" applyFont="1" applyFill="1" applyBorder="1" applyAlignment="1" applyProtection="1">
      <alignment horizontal="centerContinuous"/>
    </xf>
    <xf numFmtId="0" fontId="6" fillId="5" borderId="16" xfId="0" applyFont="1" applyFill="1" applyBorder="1" applyAlignment="1" applyProtection="1">
      <alignment horizontal="fill"/>
    </xf>
    <xf numFmtId="0" fontId="6" fillId="5" borderId="17" xfId="0" applyFont="1" applyFill="1" applyBorder="1" applyAlignment="1" applyProtection="1">
      <alignment horizontal="fill"/>
    </xf>
    <xf numFmtId="0" fontId="6" fillId="5" borderId="19" xfId="0" applyFont="1" applyFill="1" applyBorder="1"/>
    <xf numFmtId="39" fontId="6" fillId="5" borderId="9" xfId="0" applyNumberFormat="1" applyFont="1" applyFill="1" applyBorder="1" applyProtection="1"/>
    <xf numFmtId="0" fontId="6" fillId="5" borderId="5" xfId="0" applyFont="1" applyFill="1" applyBorder="1"/>
    <xf numFmtId="0" fontId="6" fillId="5" borderId="8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0" fillId="5" borderId="22" xfId="0" applyFont="1" applyFill="1" applyBorder="1"/>
    <xf numFmtId="0" fontId="6" fillId="5" borderId="29" xfId="0" applyFont="1" applyFill="1" applyBorder="1" applyAlignment="1" applyProtection="1">
      <alignment horizontal="left"/>
    </xf>
    <xf numFmtId="39" fontId="6" fillId="5" borderId="29" xfId="0" applyNumberFormat="1" applyFont="1" applyFill="1" applyBorder="1" applyAlignment="1" applyProtection="1">
      <alignment horizontal="center"/>
    </xf>
    <xf numFmtId="0" fontId="22" fillId="5" borderId="5" xfId="0" applyFont="1" applyFill="1" applyBorder="1"/>
    <xf numFmtId="10" fontId="12" fillId="5" borderId="15" xfId="1" applyNumberFormat="1" applyFont="1" applyFill="1" applyBorder="1" applyAlignment="1" applyProtection="1">
      <alignment horizontal="center"/>
    </xf>
    <xf numFmtId="0" fontId="19" fillId="5" borderId="19" xfId="0" applyFont="1" applyFill="1" applyBorder="1" applyAlignment="1" applyProtection="1">
      <alignment horizontal="centerContinuous"/>
    </xf>
    <xf numFmtId="0" fontId="19" fillId="5" borderId="20" xfId="0" applyFont="1" applyFill="1" applyBorder="1" applyAlignment="1">
      <alignment horizontal="centerContinuous"/>
    </xf>
    <xf numFmtId="179" fontId="6" fillId="5" borderId="1" xfId="0" applyNumberFormat="1" applyFont="1" applyFill="1" applyBorder="1" applyAlignment="1">
      <alignment horizontal="center"/>
    </xf>
    <xf numFmtId="0" fontId="22" fillId="5" borderId="9" xfId="0" applyFont="1" applyFill="1" applyBorder="1"/>
    <xf numFmtId="0" fontId="22" fillId="5" borderId="20" xfId="0" applyFont="1" applyFill="1" applyBorder="1"/>
    <xf numFmtId="0" fontId="12" fillId="5" borderId="21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left"/>
    </xf>
    <xf numFmtId="0" fontId="22" fillId="5" borderId="3" xfId="0" applyFont="1" applyFill="1" applyBorder="1"/>
    <xf numFmtId="39" fontId="6" fillId="5" borderId="9" xfId="0" applyNumberFormat="1" applyFont="1" applyFill="1" applyBorder="1" applyAlignment="1" applyProtection="1">
      <alignment horizontal="center"/>
    </xf>
    <xf numFmtId="0" fontId="6" fillId="5" borderId="15" xfId="0" applyFont="1" applyFill="1" applyBorder="1"/>
    <xf numFmtId="39" fontId="25" fillId="5" borderId="15" xfId="0" applyNumberFormat="1" applyFont="1" applyFill="1" applyBorder="1" applyProtection="1"/>
    <xf numFmtId="39" fontId="15" fillId="5" borderId="1" xfId="0" applyNumberFormat="1" applyFont="1" applyFill="1" applyBorder="1" applyAlignment="1" applyProtection="1">
      <alignment horizontal="center"/>
    </xf>
    <xf numFmtId="0" fontId="6" fillId="5" borderId="16" xfId="0" applyFont="1" applyFill="1" applyBorder="1"/>
    <xf numFmtId="39" fontId="6" fillId="5" borderId="8" xfId="0" applyNumberFormat="1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left"/>
    </xf>
    <xf numFmtId="0" fontId="6" fillId="5" borderId="28" xfId="0" applyFont="1" applyFill="1" applyBorder="1"/>
    <xf numFmtId="10" fontId="9" fillId="5" borderId="27" xfId="1" applyNumberFormat="1" applyFont="1" applyFill="1" applyBorder="1" applyAlignment="1">
      <alignment horizontal="center"/>
    </xf>
    <xf numFmtId="39" fontId="6" fillId="5" borderId="1" xfId="0" applyNumberFormat="1" applyFont="1" applyFill="1" applyBorder="1"/>
    <xf numFmtId="0" fontId="6" fillId="5" borderId="14" xfId="0" applyFont="1" applyFill="1" applyBorder="1" applyAlignment="1" applyProtection="1">
      <alignment horizontal="fill"/>
    </xf>
    <xf numFmtId="0" fontId="19" fillId="5" borderId="11" xfId="0" applyFont="1" applyFill="1" applyBorder="1" applyAlignment="1" applyProtection="1">
      <alignment horizontal="centerContinuous"/>
    </xf>
    <xf numFmtId="0" fontId="6" fillId="5" borderId="12" xfId="0" applyFont="1" applyFill="1" applyBorder="1" applyAlignment="1">
      <alignment horizontal="centerContinuous"/>
    </xf>
    <xf numFmtId="0" fontId="6" fillId="5" borderId="30" xfId="0" applyFont="1" applyFill="1" applyBorder="1" applyAlignment="1" applyProtection="1">
      <alignment horizontal="centerContinuous"/>
    </xf>
    <xf numFmtId="0" fontId="6" fillId="5" borderId="31" xfId="0" applyFont="1" applyFill="1" applyBorder="1" applyAlignment="1" applyProtection="1">
      <alignment horizontal="centerContinuous"/>
    </xf>
    <xf numFmtId="0" fontId="6" fillId="5" borderId="11" xfId="0" quotePrefix="1" applyFont="1" applyFill="1" applyBorder="1" applyAlignment="1" applyProtection="1">
      <alignment horizontal="center"/>
    </xf>
    <xf numFmtId="0" fontId="6" fillId="5" borderId="12" xfId="0" applyFont="1" applyFill="1" applyBorder="1" applyAlignment="1" applyProtection="1">
      <alignment horizontal="left"/>
    </xf>
    <xf numFmtId="0" fontId="6" fillId="5" borderId="12" xfId="0" applyFont="1" applyFill="1" applyBorder="1"/>
    <xf numFmtId="39" fontId="6" fillId="5" borderId="12" xfId="0" applyNumberFormat="1" applyFont="1" applyFill="1" applyBorder="1" applyProtection="1"/>
    <xf numFmtId="10" fontId="9" fillId="5" borderId="32" xfId="1" applyNumberFormat="1" applyFont="1" applyFill="1" applyBorder="1" applyAlignment="1">
      <alignment horizontal="center"/>
    </xf>
    <xf numFmtId="0" fontId="6" fillId="5" borderId="14" xfId="0" quotePrefix="1" applyFont="1" applyFill="1" applyBorder="1" applyAlignment="1" applyProtection="1">
      <alignment horizontal="center"/>
    </xf>
    <xf numFmtId="16" fontId="3" fillId="5" borderId="14" xfId="0" quotePrefix="1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/>
    <xf numFmtId="39" fontId="3" fillId="5" borderId="0" xfId="0" applyNumberFormat="1" applyFont="1" applyFill="1" applyBorder="1" applyProtection="1"/>
    <xf numFmtId="0" fontId="0" fillId="5" borderId="18" xfId="0" applyFont="1" applyFill="1" applyBorder="1"/>
    <xf numFmtId="0" fontId="6" fillId="5" borderId="30" xfId="0" applyFont="1" applyFill="1" applyBorder="1"/>
    <xf numFmtId="0" fontId="6" fillId="5" borderId="33" xfId="0" applyFont="1" applyFill="1" applyBorder="1"/>
    <xf numFmtId="39" fontId="6" fillId="5" borderId="34" xfId="0" applyNumberFormat="1" applyFont="1" applyFill="1" applyBorder="1" applyAlignment="1" applyProtection="1">
      <alignment horizontal="center"/>
    </xf>
    <xf numFmtId="0" fontId="6" fillId="5" borderId="34" xfId="0" applyFont="1" applyFill="1" applyBorder="1"/>
    <xf numFmtId="0" fontId="6" fillId="5" borderId="34" xfId="0" applyFont="1" applyFill="1" applyBorder="1" applyAlignment="1" applyProtection="1">
      <alignment horizontal="left"/>
    </xf>
    <xf numFmtId="0" fontId="6" fillId="5" borderId="35" xfId="0" applyFont="1" applyFill="1" applyBorder="1" applyAlignment="1" applyProtection="1">
      <alignment horizontal="left"/>
    </xf>
    <xf numFmtId="0" fontId="6" fillId="5" borderId="36" xfId="0" applyFont="1" applyFill="1" applyBorder="1"/>
    <xf numFmtId="39" fontId="6" fillId="5" borderId="37" xfId="0" applyNumberFormat="1" applyFont="1" applyFill="1" applyBorder="1" applyAlignment="1" applyProtection="1">
      <alignment horizontal="center"/>
    </xf>
    <xf numFmtId="10" fontId="12" fillId="5" borderId="38" xfId="1" applyNumberFormat="1" applyFont="1" applyFill="1" applyBorder="1" applyAlignment="1" applyProtection="1">
      <alignment horizontal="center"/>
    </xf>
    <xf numFmtId="0" fontId="6" fillId="5" borderId="31" xfId="0" applyFont="1" applyFill="1" applyBorder="1"/>
    <xf numFmtId="16" fontId="12" fillId="5" borderId="30" xfId="0" quotePrefix="1" applyNumberFormat="1" applyFont="1" applyFill="1" applyBorder="1" applyAlignment="1" applyProtection="1">
      <alignment horizontal="center"/>
    </xf>
    <xf numFmtId="0" fontId="12" fillId="5" borderId="31" xfId="0" applyFont="1" applyFill="1" applyBorder="1" applyAlignment="1" applyProtection="1">
      <alignment horizontal="left"/>
    </xf>
    <xf numFmtId="0" fontId="12" fillId="5" borderId="31" xfId="0" applyFont="1" applyFill="1" applyBorder="1"/>
    <xf numFmtId="171" fontId="12" fillId="5" borderId="31" xfId="2" applyFont="1" applyFill="1" applyBorder="1" applyProtection="1"/>
    <xf numFmtId="10" fontId="9" fillId="5" borderId="32" xfId="0" applyNumberFormat="1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3" fontId="12" fillId="5" borderId="12" xfId="0" applyNumberFormat="1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43" xfId="0" applyFont="1" applyFill="1" applyBorder="1"/>
    <xf numFmtId="0" fontId="12" fillId="5" borderId="14" xfId="0" applyFont="1" applyFill="1" applyBorder="1"/>
    <xf numFmtId="0" fontId="12" fillId="5" borderId="0" xfId="0" applyFont="1" applyFill="1" applyBorder="1" applyAlignment="1">
      <alignment horizontal="center"/>
    </xf>
    <xf numFmtId="0" fontId="12" fillId="5" borderId="44" xfId="0" applyFont="1" applyFill="1" applyBorder="1"/>
    <xf numFmtId="0" fontId="2" fillId="5" borderId="44" xfId="0" applyFont="1" applyFill="1" applyBorder="1"/>
    <xf numFmtId="0" fontId="12" fillId="5" borderId="44" xfId="0" applyFont="1" applyFill="1" applyBorder="1" applyAlignment="1">
      <alignment horizontal="center"/>
    </xf>
    <xf numFmtId="0" fontId="12" fillId="5" borderId="39" xfId="0" applyFont="1" applyFill="1" applyBorder="1"/>
    <xf numFmtId="0" fontId="12" fillId="5" borderId="40" xfId="0" applyFont="1" applyFill="1" applyBorder="1"/>
    <xf numFmtId="0" fontId="2" fillId="5" borderId="40" xfId="0" applyFont="1" applyFill="1" applyBorder="1"/>
    <xf numFmtId="39" fontId="12" fillId="5" borderId="41" xfId="0" applyNumberFormat="1" applyFont="1" applyFill="1" applyBorder="1" applyAlignment="1">
      <alignment horizontal="center"/>
    </xf>
    <xf numFmtId="0" fontId="21" fillId="5" borderId="40" xfId="0" applyFont="1" applyFill="1" applyBorder="1"/>
    <xf numFmtId="2" fontId="30" fillId="5" borderId="41" xfId="0" applyNumberFormat="1" applyFont="1" applyFill="1" applyBorder="1" applyAlignment="1">
      <alignment horizontal="center"/>
    </xf>
    <xf numFmtId="0" fontId="2" fillId="5" borderId="46" xfId="0" applyFont="1" applyFill="1" applyBorder="1"/>
    <xf numFmtId="177" fontId="6" fillId="3" borderId="4" xfId="0" applyNumberFormat="1" applyFont="1" applyFill="1" applyBorder="1" applyAlignment="1" applyProtection="1">
      <alignment horizontal="center"/>
    </xf>
    <xf numFmtId="2" fontId="6" fillId="3" borderId="4" xfId="0" applyNumberFormat="1" applyFont="1" applyFill="1" applyBorder="1" applyAlignment="1" applyProtection="1">
      <alignment horizontal="center"/>
    </xf>
    <xf numFmtId="37" fontId="12" fillId="3" borderId="1" xfId="0" applyNumberFormat="1" applyFont="1" applyFill="1" applyBorder="1" applyAlignment="1" applyProtection="1">
      <alignment horizontal="center"/>
    </xf>
    <xf numFmtId="37" fontId="6" fillId="3" borderId="1" xfId="0" applyNumberFormat="1" applyFont="1" applyFill="1" applyBorder="1" applyAlignment="1" applyProtection="1">
      <alignment horizontal="center"/>
    </xf>
    <xf numFmtId="37" fontId="6" fillId="3" borderId="4" xfId="0" applyNumberFormat="1" applyFont="1" applyFill="1" applyBorder="1" applyAlignment="1" applyProtection="1">
      <alignment horizontal="center"/>
    </xf>
    <xf numFmtId="180" fontId="12" fillId="5" borderId="0" xfId="0" applyNumberFormat="1" applyFont="1" applyFill="1" applyBorder="1" applyAlignment="1" applyProtection="1">
      <alignment horizontal="center"/>
    </xf>
    <xf numFmtId="39" fontId="12" fillId="5" borderId="0" xfId="0" applyNumberFormat="1" applyFont="1" applyFill="1" applyBorder="1" applyAlignment="1" applyProtection="1">
      <alignment horizontal="center"/>
    </xf>
    <xf numFmtId="37" fontId="6" fillId="5" borderId="14" xfId="0" applyNumberFormat="1" applyFont="1" applyFill="1" applyBorder="1" applyAlignment="1" applyProtection="1">
      <alignment horizontal="center"/>
    </xf>
    <xf numFmtId="39" fontId="6" fillId="5" borderId="0" xfId="0" applyNumberFormat="1" applyFont="1" applyFill="1" applyBorder="1" applyAlignment="1" applyProtection="1">
      <alignment horizontal="center"/>
    </xf>
    <xf numFmtId="178" fontId="6" fillId="5" borderId="0" xfId="0" applyNumberFormat="1" applyFont="1" applyFill="1" applyBorder="1" applyProtection="1"/>
    <xf numFmtId="0" fontId="12" fillId="5" borderId="10" xfId="0" applyFont="1" applyFill="1" applyBorder="1" applyAlignment="1" applyProtection="1">
      <alignment horizontal="left"/>
    </xf>
    <xf numFmtId="178" fontId="12" fillId="5" borderId="0" xfId="0" applyNumberFormat="1" applyFont="1" applyFill="1" applyBorder="1" applyProtection="1"/>
    <xf numFmtId="181" fontId="12" fillId="5" borderId="0" xfId="0" applyNumberFormat="1" applyFont="1" applyFill="1" applyBorder="1" applyAlignment="1" applyProtection="1">
      <alignment horizontal="right"/>
    </xf>
    <xf numFmtId="39" fontId="12" fillId="5" borderId="0" xfId="0" applyNumberFormat="1" applyFont="1" applyFill="1" applyBorder="1" applyProtection="1"/>
    <xf numFmtId="10" fontId="25" fillId="5" borderId="21" xfId="1" applyNumberFormat="1" applyFont="1" applyFill="1" applyBorder="1" applyAlignment="1" applyProtection="1">
      <alignment horizontal="center"/>
    </xf>
    <xf numFmtId="37" fontId="6" fillId="5" borderId="0" xfId="0" applyNumberFormat="1" applyFont="1" applyFill="1" applyBorder="1" applyAlignment="1" applyProtection="1">
      <alignment horizontal="center"/>
    </xf>
    <xf numFmtId="0" fontId="5" fillId="5" borderId="45" xfId="0" applyFont="1" applyFill="1" applyBorder="1" applyAlignment="1">
      <alignment horizontal="centerContinuous"/>
    </xf>
    <xf numFmtId="37" fontId="6" fillId="5" borderId="10" xfId="0" applyNumberFormat="1" applyFont="1" applyFill="1" applyBorder="1" applyAlignment="1" applyProtection="1">
      <alignment horizontal="center"/>
    </xf>
    <xf numFmtId="181" fontId="12" fillId="5" borderId="1" xfId="0" applyNumberFormat="1" applyFont="1" applyFill="1" applyBorder="1" applyAlignment="1" applyProtection="1">
      <alignment horizontal="center"/>
      <protection locked="0"/>
    </xf>
    <xf numFmtId="200" fontId="30" fillId="5" borderId="41" xfId="0" applyNumberFormat="1" applyFont="1" applyFill="1" applyBorder="1" applyAlignment="1">
      <alignment horizontal="center"/>
    </xf>
    <xf numFmtId="0" fontId="12" fillId="5" borderId="9" xfId="0" applyFont="1" applyFill="1" applyBorder="1" applyAlignment="1" applyProtection="1">
      <alignment horizontal="left"/>
    </xf>
    <xf numFmtId="39" fontId="11" fillId="5" borderId="37" xfId="0" applyNumberFormat="1" applyFont="1" applyFill="1" applyBorder="1" applyAlignment="1" applyProtection="1">
      <alignment horizontal="center"/>
    </xf>
    <xf numFmtId="0" fontId="12" fillId="5" borderId="0" xfId="0" applyFont="1" applyFill="1" applyAlignment="1">
      <alignment horizontal="left"/>
    </xf>
    <xf numFmtId="39" fontId="12" fillId="5" borderId="0" xfId="0" applyNumberFormat="1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Protection="1"/>
    <xf numFmtId="166" fontId="6" fillId="6" borderId="1" xfId="0" applyNumberFormat="1" applyFont="1" applyFill="1" applyBorder="1" applyAlignment="1" applyProtection="1">
      <alignment horizontal="center"/>
    </xf>
    <xf numFmtId="0" fontId="11" fillId="6" borderId="8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9" fillId="5" borderId="47" xfId="0" applyFont="1" applyFill="1" applyBorder="1" applyAlignment="1" applyProtection="1">
      <alignment horizontal="center"/>
    </xf>
    <xf numFmtId="0" fontId="19" fillId="5" borderId="29" xfId="0" applyFont="1" applyFill="1" applyBorder="1" applyAlignment="1" applyProtection="1">
      <alignment horizontal="center"/>
    </xf>
    <xf numFmtId="0" fontId="19" fillId="5" borderId="7" xfId="0" applyFont="1" applyFill="1" applyBorder="1" applyAlignment="1" applyProtection="1">
      <alignment horizontal="center"/>
    </xf>
    <xf numFmtId="0" fontId="28" fillId="5" borderId="39" xfId="0" applyFont="1" applyFill="1" applyBorder="1" applyAlignment="1">
      <alignment horizontal="center"/>
    </xf>
    <xf numFmtId="0" fontId="28" fillId="5" borderId="40" xfId="0" applyFont="1" applyFill="1" applyBorder="1" applyAlignment="1">
      <alignment horizontal="center"/>
    </xf>
    <xf numFmtId="0" fontId="28" fillId="5" borderId="41" xfId="0" applyFont="1" applyFill="1" applyBorder="1" applyAlignment="1">
      <alignment horizontal="center"/>
    </xf>
    <xf numFmtId="0" fontId="19" fillId="5" borderId="28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18" fillId="2" borderId="39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9" fillId="2" borderId="47" xfId="0" applyFont="1" applyFill="1" applyBorder="1" applyAlignment="1" applyProtection="1">
      <alignment horizontal="center"/>
    </xf>
    <xf numFmtId="0" fontId="19" fillId="2" borderId="29" xfId="0" applyFont="1" applyFill="1" applyBorder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28" fillId="2" borderId="39" xfId="0" applyFont="1" applyFill="1" applyBorder="1" applyAlignment="1">
      <alignment horizontal="center"/>
    </xf>
    <xf numFmtId="0" fontId="28" fillId="2" borderId="40" xfId="0" applyFont="1" applyFill="1" applyBorder="1" applyAlignment="1">
      <alignment horizontal="center"/>
    </xf>
    <xf numFmtId="0" fontId="28" fillId="2" borderId="41" xfId="0" applyFont="1" applyFill="1" applyBorder="1" applyAlignment="1">
      <alignment horizontal="center"/>
    </xf>
    <xf numFmtId="0" fontId="32" fillId="0" borderId="29" xfId="0" applyFont="1" applyBorder="1" applyAlignment="1">
      <alignment horizontal="left" vertical="center"/>
    </xf>
    <xf numFmtId="0" fontId="5" fillId="2" borderId="28" xfId="0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3" fillId="4" borderId="26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horizontal="center"/>
    </xf>
    <xf numFmtId="0" fontId="16" fillId="2" borderId="39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0" fontId="11" fillId="2" borderId="29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13" fillId="4" borderId="28" xfId="0" applyFont="1" applyFill="1" applyBorder="1" applyAlignment="1" applyProtection="1">
      <alignment horizontal="center"/>
    </xf>
    <xf numFmtId="0" fontId="13" fillId="4" borderId="29" xfId="0" applyFont="1" applyFill="1" applyBorder="1" applyAlignment="1" applyProtection="1">
      <alignment horizontal="center"/>
    </xf>
    <xf numFmtId="0" fontId="13" fillId="4" borderId="7" xfId="0" applyFont="1" applyFill="1" applyBorder="1" applyAlignment="1" applyProtection="1">
      <alignment horizontal="center"/>
    </xf>
    <xf numFmtId="224" fontId="12" fillId="3" borderId="1" xfId="0" applyNumberFormat="1" applyFont="1" applyFill="1" applyBorder="1" applyAlignment="1" applyProtection="1">
      <alignment horizontal="center"/>
      <protection locked="0"/>
    </xf>
    <xf numFmtId="0" fontId="22" fillId="0" borderId="48" xfId="0" applyFont="1" applyBorder="1"/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0</xdr:rowOff>
    </xdr:from>
    <xdr:to>
      <xdr:col>17</xdr:col>
      <xdr:colOff>638175</xdr:colOff>
      <xdr:row>62</xdr:row>
      <xdr:rowOff>0</xdr:rowOff>
    </xdr:to>
    <xdr:grpSp>
      <xdr:nvGrpSpPr>
        <xdr:cNvPr id="27652" name="Group 106"/>
        <xdr:cNvGrpSpPr>
          <a:grpSpLocks/>
        </xdr:cNvGrpSpPr>
      </xdr:nvGrpSpPr>
      <xdr:grpSpPr bwMode="auto">
        <a:xfrm>
          <a:off x="6524625" y="0"/>
          <a:ext cx="5772150" cy="8810625"/>
          <a:chOff x="1290" y="0"/>
          <a:chExt cx="743" cy="1137"/>
        </a:xfrm>
      </xdr:grpSpPr>
      <xdr:pic>
        <xdr:nvPicPr>
          <xdr:cNvPr id="27653" name="Picture 1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90" y="0"/>
            <a:ext cx="743" cy="1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7654" name="Oval 108"/>
          <xdr:cNvSpPr>
            <a:spLocks noChangeArrowheads="1"/>
          </xdr:cNvSpPr>
        </xdr:nvSpPr>
        <xdr:spPr bwMode="auto">
          <a:xfrm>
            <a:off x="1322" y="653"/>
            <a:ext cx="143" cy="33"/>
          </a:xfrm>
          <a:prstGeom prst="ellips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7655" name="Oval 109"/>
          <xdr:cNvSpPr>
            <a:spLocks noChangeArrowheads="1"/>
          </xdr:cNvSpPr>
        </xdr:nvSpPr>
        <xdr:spPr bwMode="auto">
          <a:xfrm>
            <a:off x="1663" y="796"/>
            <a:ext cx="143" cy="33"/>
          </a:xfrm>
          <a:prstGeom prst="ellips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27656" name="AutoShape 110"/>
          <xdr:cNvCxnSpPr>
            <a:cxnSpLocks noChangeShapeType="1"/>
            <a:stCxn id="27654" idx="6"/>
            <a:endCxn id="27655" idx="1"/>
          </xdr:cNvCxnSpPr>
        </xdr:nvCxnSpPr>
        <xdr:spPr bwMode="auto">
          <a:xfrm>
            <a:off x="1466" y="670"/>
            <a:ext cx="218" cy="130"/>
          </a:xfrm>
          <a:prstGeom prst="bentConnector2">
            <a:avLst/>
          </a:prstGeom>
          <a:noFill/>
          <a:ln w="9525">
            <a:solidFill>
              <a:srgbClr val="FF0000"/>
            </a:solidFill>
            <a:miter lim="800000"/>
            <a:headEnd type="triangle" w="med" len="med"/>
            <a:tailEnd type="triangle" w="med" len="med"/>
          </a:ln>
        </xdr:spPr>
      </xdr:cxnSp>
      <xdr:sp macro="" textlink="">
        <xdr:nvSpPr>
          <xdr:cNvPr id="27657" name="Oval 111"/>
          <xdr:cNvSpPr>
            <a:spLocks noChangeArrowheads="1"/>
          </xdr:cNvSpPr>
        </xdr:nvSpPr>
        <xdr:spPr bwMode="auto">
          <a:xfrm>
            <a:off x="1816" y="494"/>
            <a:ext cx="106" cy="34"/>
          </a:xfrm>
          <a:prstGeom prst="ellips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7658" name="Oval 112"/>
          <xdr:cNvSpPr>
            <a:spLocks noChangeArrowheads="1"/>
          </xdr:cNvSpPr>
        </xdr:nvSpPr>
        <xdr:spPr bwMode="auto">
          <a:xfrm>
            <a:off x="1794" y="1043"/>
            <a:ext cx="143" cy="33"/>
          </a:xfrm>
          <a:prstGeom prst="ellipse">
            <a:avLst/>
          </a:prstGeom>
          <a:noFill/>
          <a:ln w="222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opLeftCell="A59" workbookViewId="0">
      <selection activeCell="C73" sqref="C73:F75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7.25" style="1" customWidth="1"/>
    <col min="12" max="12" width="0.875" style="1" customWidth="1"/>
    <col min="13" max="22" width="11" style="1" customWidth="1"/>
    <col min="23" max="23" width="8.875" style="1" customWidth="1"/>
    <col min="24" max="16384" width="11" style="1"/>
  </cols>
  <sheetData>
    <row r="1" spans="1:23" ht="22.5" customHeight="1" thickBot="1">
      <c r="A1" s="644" t="s">
        <v>221</v>
      </c>
      <c r="B1" s="645"/>
      <c r="C1" s="645"/>
      <c r="D1" s="645"/>
      <c r="E1" s="645"/>
      <c r="F1" s="645"/>
      <c r="G1" s="645"/>
      <c r="H1" s="645"/>
      <c r="I1" s="645"/>
      <c r="J1" s="645"/>
      <c r="K1" s="646"/>
      <c r="L1" s="399"/>
      <c r="M1" s="647" t="str">
        <f>A1</f>
        <v>CUSTO  DE  VEÍCULO  DE  TRANSPORTE  DE  EQUIPE  DE  CAPINA</v>
      </c>
      <c r="N1" s="648"/>
      <c r="O1" s="648"/>
      <c r="P1" s="648"/>
      <c r="Q1" s="648"/>
      <c r="R1" s="648"/>
      <c r="S1" s="648"/>
      <c r="T1" s="648"/>
      <c r="U1" s="648"/>
      <c r="V1" s="648"/>
      <c r="W1" s="649"/>
    </row>
    <row r="2" spans="1:23" ht="20.25">
      <c r="A2" s="400" t="s">
        <v>179</v>
      </c>
      <c r="B2" s="401"/>
      <c r="C2" s="402"/>
      <c r="D2" s="401"/>
      <c r="E2" s="401"/>
      <c r="F2" s="401"/>
      <c r="G2" s="403"/>
      <c r="H2" s="401"/>
      <c r="I2" s="401"/>
      <c r="J2" s="401"/>
      <c r="K2" s="404"/>
      <c r="L2" s="399"/>
      <c r="M2" s="405" t="str">
        <f>A2</f>
        <v>DEMONSTRATIVO   MENSAL   DE   CUSTO   DE   SERVIÇOS</v>
      </c>
      <c r="N2" s="406"/>
      <c r="O2" s="406"/>
      <c r="P2" s="406"/>
      <c r="Q2" s="406"/>
      <c r="R2" s="406"/>
      <c r="S2" s="407"/>
      <c r="T2" s="406"/>
      <c r="U2" s="406"/>
      <c r="V2" s="406"/>
      <c r="W2" s="408"/>
    </row>
    <row r="3" spans="1:23" ht="21" thickBot="1">
      <c r="A3" s="409" t="s">
        <v>218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  <c r="L3" s="399"/>
      <c r="M3" s="413" t="s">
        <v>22</v>
      </c>
      <c r="N3" s="414"/>
      <c r="O3" s="414"/>
      <c r="P3" s="414"/>
      <c r="Q3" s="414"/>
      <c r="R3" s="414"/>
      <c r="S3" s="414"/>
      <c r="T3" s="414"/>
      <c r="U3" s="414"/>
      <c r="V3" s="414"/>
      <c r="W3" s="415" t="s">
        <v>21</v>
      </c>
    </row>
    <row r="4" spans="1:23" ht="12.75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  <c r="L4" s="399"/>
      <c r="M4" s="419" t="str">
        <f>A6</f>
        <v>Descrição do Veiculo: ÔNIBUS  MBB  1722   ou   SIMILAR</v>
      </c>
      <c r="N4" s="420"/>
      <c r="O4" s="420"/>
      <c r="P4" s="420"/>
      <c r="Q4" s="420"/>
      <c r="R4" s="420"/>
      <c r="S4" s="420"/>
      <c r="T4" s="420"/>
      <c r="U4" s="420"/>
      <c r="V4" s="421"/>
      <c r="W4" s="422"/>
    </row>
    <row r="5" spans="1:23" ht="20.25">
      <c r="A5" s="650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  <c r="L5" s="399"/>
      <c r="M5" s="424" t="str">
        <f>A7</f>
        <v>Ano de Fabricação: 2006</v>
      </c>
      <c r="N5" s="425"/>
      <c r="O5" s="425" t="str">
        <f>A9</f>
        <v>Contratante:</v>
      </c>
      <c r="P5" s="426" t="str">
        <f>B9</f>
        <v>PREFEITURA   MUNICIPAL   DE   PATOS   DE   MINAS - MG</v>
      </c>
      <c r="Q5" s="427"/>
      <c r="R5" s="425"/>
      <c r="S5" s="425"/>
      <c r="T5" s="425"/>
      <c r="U5" s="425"/>
      <c r="V5" s="428"/>
      <c r="W5" s="418"/>
    </row>
    <row r="6" spans="1:23" ht="12.75">
      <c r="A6" s="419" t="s">
        <v>344</v>
      </c>
      <c r="B6" s="420"/>
      <c r="C6" s="420"/>
      <c r="D6" s="420"/>
      <c r="E6" s="429"/>
      <c r="F6" s="420"/>
      <c r="G6" s="420"/>
      <c r="H6" s="420"/>
      <c r="I6" s="420"/>
      <c r="J6" s="420"/>
      <c r="K6" s="430"/>
      <c r="L6" s="399"/>
      <c r="M6" s="424" t="str">
        <f>A8</f>
        <v>Tipo de Combustível: Diesel</v>
      </c>
      <c r="N6" s="425"/>
      <c r="O6" s="425"/>
      <c r="P6" s="425"/>
      <c r="Q6" s="431"/>
      <c r="R6" s="425"/>
      <c r="S6" s="425"/>
      <c r="T6" s="425"/>
      <c r="U6" s="425"/>
      <c r="V6" s="428"/>
      <c r="W6" s="418"/>
    </row>
    <row r="7" spans="1:23" ht="12.75">
      <c r="A7" s="424" t="s">
        <v>343</v>
      </c>
      <c r="B7" s="425"/>
      <c r="C7" s="425"/>
      <c r="D7" s="425"/>
      <c r="E7" s="425"/>
      <c r="F7" s="425"/>
      <c r="G7" s="425"/>
      <c r="H7" s="425"/>
      <c r="I7" s="425"/>
      <c r="J7" s="425"/>
      <c r="K7" s="432"/>
      <c r="L7" s="399"/>
      <c r="M7" s="433" t="str">
        <f>A10</f>
        <v xml:space="preserve">Km Estimada: </v>
      </c>
      <c r="N7" s="428"/>
      <c r="O7" s="434">
        <f>C10</f>
        <v>3500</v>
      </c>
      <c r="P7" s="428" t="str">
        <f>D10</f>
        <v>Km</v>
      </c>
      <c r="Q7" s="428"/>
      <c r="R7" s="428"/>
      <c r="S7" s="428"/>
      <c r="T7" s="428"/>
      <c r="U7" s="428"/>
      <c r="V7" s="428"/>
      <c r="W7" s="418"/>
    </row>
    <row r="8" spans="1:23" ht="12.75">
      <c r="A8" s="424" t="s">
        <v>25</v>
      </c>
      <c r="B8" s="425"/>
      <c r="C8" s="425"/>
      <c r="D8" s="425"/>
      <c r="E8" s="425"/>
      <c r="F8" s="425"/>
      <c r="G8" s="425"/>
      <c r="H8" s="425" t="s">
        <v>26</v>
      </c>
      <c r="I8" s="435">
        <v>0</v>
      </c>
      <c r="J8" s="425"/>
      <c r="K8" s="432"/>
      <c r="L8" s="399"/>
      <c r="M8" s="436" t="str">
        <f>A11</f>
        <v>Horário:</v>
      </c>
      <c r="N8" s="437">
        <v>0.33333333333333298</v>
      </c>
      <c r="O8" s="438" t="s">
        <v>27</v>
      </c>
      <c r="P8" s="437">
        <f>D11</f>
        <v>0.70833333333333304</v>
      </c>
      <c r="Q8" s="439" t="s">
        <v>28</v>
      </c>
      <c r="R8" s="440"/>
      <c r="S8" s="441"/>
      <c r="T8" s="441"/>
      <c r="U8" s="441"/>
      <c r="V8" s="441"/>
      <c r="W8" s="418"/>
    </row>
    <row r="9" spans="1:23" ht="15.75">
      <c r="A9" s="424" t="s">
        <v>29</v>
      </c>
      <c r="B9" s="426" t="s">
        <v>30</v>
      </c>
      <c r="C9" s="425"/>
      <c r="D9" s="425"/>
      <c r="E9" s="425"/>
      <c r="F9" s="425"/>
      <c r="G9" s="425"/>
      <c r="H9" s="425"/>
      <c r="I9" s="435"/>
      <c r="J9" s="425"/>
      <c r="K9" s="432"/>
      <c r="L9" s="399"/>
      <c r="M9" s="433"/>
      <c r="N9" s="442"/>
      <c r="O9" s="443"/>
      <c r="P9" s="442"/>
      <c r="Q9" s="444"/>
      <c r="R9" s="442"/>
      <c r="S9" s="428"/>
      <c r="T9" s="428"/>
      <c r="U9" s="428"/>
      <c r="V9" s="428"/>
      <c r="W9" s="418"/>
    </row>
    <row r="10" spans="1:23" ht="12.75">
      <c r="A10" s="424" t="s">
        <v>31</v>
      </c>
      <c r="B10" s="425"/>
      <c r="C10" s="445">
        <v>3500</v>
      </c>
      <c r="D10" s="425" t="s">
        <v>32</v>
      </c>
      <c r="E10" s="425"/>
      <c r="F10" s="425"/>
      <c r="G10" s="425"/>
      <c r="H10" s="425"/>
      <c r="I10" s="425"/>
      <c r="J10" s="425"/>
      <c r="K10" s="432"/>
      <c r="L10" s="399"/>
      <c r="M10" s="446"/>
      <c r="N10" s="447"/>
      <c r="O10" s="447"/>
      <c r="P10" s="447"/>
      <c r="Q10" s="447"/>
      <c r="R10" s="421"/>
      <c r="S10" s="448"/>
      <c r="T10" s="447"/>
      <c r="U10" s="449" t="s">
        <v>33</v>
      </c>
      <c r="V10" s="450"/>
      <c r="W10" s="418"/>
    </row>
    <row r="11" spans="1:23" ht="12.75">
      <c r="A11" s="436" t="s">
        <v>34</v>
      </c>
      <c r="B11" s="451">
        <v>0.29166666666666702</v>
      </c>
      <c r="C11" s="438" t="s">
        <v>27</v>
      </c>
      <c r="D11" s="451">
        <v>0.70833333333333304</v>
      </c>
      <c r="E11" s="439" t="s">
        <v>28</v>
      </c>
      <c r="F11" s="440" t="s">
        <v>219</v>
      </c>
      <c r="G11" s="441"/>
      <c r="H11" s="441"/>
      <c r="I11" s="441"/>
      <c r="J11" s="441"/>
      <c r="K11" s="432"/>
      <c r="L11" s="399"/>
      <c r="M11" s="452" t="s">
        <v>35</v>
      </c>
      <c r="N11" s="453" t="s">
        <v>36</v>
      </c>
      <c r="O11" s="453" t="s">
        <v>37</v>
      </c>
      <c r="P11" s="453" t="s">
        <v>36</v>
      </c>
      <c r="Q11" s="453" t="s">
        <v>38</v>
      </c>
      <c r="R11" s="642" t="s">
        <v>39</v>
      </c>
      <c r="S11" s="643"/>
      <c r="T11" s="453" t="s">
        <v>40</v>
      </c>
      <c r="U11" s="453" t="s">
        <v>41</v>
      </c>
      <c r="V11" s="454" t="s">
        <v>42</v>
      </c>
      <c r="W11" s="418"/>
    </row>
    <row r="12" spans="1:23" ht="12.75">
      <c r="A12" s="455"/>
      <c r="B12" s="456"/>
      <c r="C12" s="456"/>
      <c r="D12" s="456"/>
      <c r="E12" s="456"/>
      <c r="F12" s="456"/>
      <c r="G12" s="456"/>
      <c r="H12" s="456"/>
      <c r="I12" s="449" t="s">
        <v>33</v>
      </c>
      <c r="J12" s="457"/>
      <c r="K12" s="458"/>
      <c r="L12" s="399"/>
      <c r="M12" s="459"/>
      <c r="N12" s="460"/>
      <c r="O12" s="460"/>
      <c r="P12" s="460"/>
      <c r="Q12" s="460"/>
      <c r="R12" s="441"/>
      <c r="S12" s="461"/>
      <c r="T12" s="460"/>
      <c r="U12" s="462" t="s">
        <v>43</v>
      </c>
      <c r="V12" s="463"/>
      <c r="W12" s="464"/>
    </row>
    <row r="13" spans="1:23" ht="12.75">
      <c r="A13" s="452" t="s">
        <v>44</v>
      </c>
      <c r="B13" s="453" t="s">
        <v>36</v>
      </c>
      <c r="C13" s="453" t="s">
        <v>45</v>
      </c>
      <c r="D13" s="453" t="s">
        <v>36</v>
      </c>
      <c r="E13" s="453" t="s">
        <v>35</v>
      </c>
      <c r="F13" s="453" t="s">
        <v>38</v>
      </c>
      <c r="G13" s="453" t="s">
        <v>39</v>
      </c>
      <c r="H13" s="453" t="s">
        <v>40</v>
      </c>
      <c r="I13" s="453" t="s">
        <v>41</v>
      </c>
      <c r="J13" s="454" t="s">
        <v>42</v>
      </c>
      <c r="K13" s="465"/>
      <c r="L13" s="399"/>
      <c r="M13" s="446"/>
      <c r="N13" s="447"/>
      <c r="O13" s="447"/>
      <c r="P13" s="466"/>
      <c r="Q13" s="466"/>
      <c r="R13" s="428"/>
      <c r="S13" s="428"/>
      <c r="T13" s="447"/>
      <c r="U13" s="466"/>
      <c r="V13" s="450"/>
      <c r="W13" s="418"/>
    </row>
    <row r="14" spans="1:23" ht="12.75">
      <c r="A14" s="467"/>
      <c r="B14" s="468"/>
      <c r="C14" s="468"/>
      <c r="D14" s="468"/>
      <c r="E14" s="468"/>
      <c r="F14" s="468"/>
      <c r="G14" s="468"/>
      <c r="H14" s="468"/>
      <c r="I14" s="462" t="s">
        <v>43</v>
      </c>
      <c r="J14" s="469"/>
      <c r="K14" s="458"/>
      <c r="L14" s="399"/>
      <c r="M14" s="470"/>
      <c r="N14" s="466"/>
      <c r="O14" s="466"/>
      <c r="P14" s="466"/>
      <c r="Q14" s="471" t="s">
        <v>46</v>
      </c>
      <c r="R14" s="472" t="s">
        <v>47</v>
      </c>
      <c r="S14" s="473"/>
      <c r="T14" s="466"/>
      <c r="U14" s="466"/>
      <c r="V14" s="454" t="s">
        <v>42</v>
      </c>
      <c r="W14" s="418"/>
    </row>
    <row r="15" spans="1:23" ht="12.75">
      <c r="A15" s="470"/>
      <c r="B15" s="466"/>
      <c r="C15" s="466"/>
      <c r="D15" s="466"/>
      <c r="E15" s="466"/>
      <c r="F15" s="466"/>
      <c r="G15" s="466"/>
      <c r="H15" s="466"/>
      <c r="I15" s="466"/>
      <c r="J15" s="474"/>
      <c r="K15" s="432"/>
      <c r="L15" s="399"/>
      <c r="M15" s="470"/>
      <c r="N15" s="466"/>
      <c r="O15" s="466"/>
      <c r="P15" s="466"/>
      <c r="Q15" s="466"/>
      <c r="R15" s="428"/>
      <c r="S15" s="473"/>
      <c r="T15" s="466"/>
      <c r="U15" s="475"/>
      <c r="V15" s="474"/>
      <c r="W15" s="418"/>
    </row>
    <row r="16" spans="1:23" ht="12.75">
      <c r="A16" s="470"/>
      <c r="B16" s="466"/>
      <c r="C16" s="466"/>
      <c r="D16" s="466"/>
      <c r="E16" s="466"/>
      <c r="F16" s="471" t="s">
        <v>48</v>
      </c>
      <c r="G16" s="453" t="s">
        <v>49</v>
      </c>
      <c r="H16" s="466"/>
      <c r="I16" s="466"/>
      <c r="J16" s="474"/>
      <c r="K16" s="432"/>
      <c r="L16" s="399"/>
      <c r="M16" s="615">
        <v>2.5</v>
      </c>
      <c r="N16" s="453" t="s">
        <v>50</v>
      </c>
      <c r="O16" s="476">
        <v>1000000</v>
      </c>
      <c r="P16" s="453" t="s">
        <v>32</v>
      </c>
      <c r="Q16" s="471" t="s">
        <v>51</v>
      </c>
      <c r="R16" s="472" t="s">
        <v>52</v>
      </c>
      <c r="S16" s="473"/>
      <c r="T16" s="477">
        <f>(M16/O16)</f>
        <v>2.5000000000000002E-6</v>
      </c>
      <c r="U16" s="478">
        <f>I18</f>
        <v>32272.400000000001</v>
      </c>
      <c r="V16" s="479">
        <f t="shared" ref="V16:V22" si="0">(+U16*T16)</f>
        <v>8.0699999999999994E-2</v>
      </c>
      <c r="W16" s="480">
        <f>V16*C10/V63</f>
        <v>4.2599999999999999E-2</v>
      </c>
    </row>
    <row r="17" spans="1:23" ht="12.75">
      <c r="A17" s="470"/>
      <c r="B17" s="466"/>
      <c r="C17" s="466"/>
      <c r="D17" s="466"/>
      <c r="E17" s="466"/>
      <c r="F17" s="466"/>
      <c r="G17" s="466"/>
      <c r="H17" s="466"/>
      <c r="I17" s="466"/>
      <c r="J17" s="474"/>
      <c r="K17" s="432"/>
      <c r="L17" s="399"/>
      <c r="M17" s="616">
        <v>15</v>
      </c>
      <c r="N17" s="453" t="s">
        <v>21</v>
      </c>
      <c r="O17" s="476" t="s">
        <v>53</v>
      </c>
      <c r="P17" s="481" t="s">
        <v>53</v>
      </c>
      <c r="Q17" s="471" t="s">
        <v>54</v>
      </c>
      <c r="R17" s="472" t="s">
        <v>55</v>
      </c>
      <c r="S17" s="473"/>
      <c r="T17" s="477">
        <f>(+M17/100)</f>
        <v>0.15</v>
      </c>
      <c r="U17" s="482">
        <f>V16</f>
        <v>8.0699999999999994E-2</v>
      </c>
      <c r="V17" s="479">
        <f t="shared" si="0"/>
        <v>1.21E-2</v>
      </c>
      <c r="W17" s="480">
        <f>V17*C10/V63</f>
        <v>6.4000000000000003E-3</v>
      </c>
    </row>
    <row r="18" spans="1:23" ht="12.75">
      <c r="A18" s="483">
        <v>100</v>
      </c>
      <c r="B18" s="484" t="s">
        <v>21</v>
      </c>
      <c r="C18" s="197">
        <v>72</v>
      </c>
      <c r="D18" s="453" t="s">
        <v>56</v>
      </c>
      <c r="E18" s="485" t="s">
        <v>57</v>
      </c>
      <c r="F18" s="485" t="s">
        <v>58</v>
      </c>
      <c r="G18" s="485" t="s">
        <v>59</v>
      </c>
      <c r="H18" s="486">
        <f>(+A18/C18)/100</f>
        <v>1.3888899999999999E-2</v>
      </c>
      <c r="I18" s="487">
        <f>I20-(M18*U18)</f>
        <v>32272.400000000001</v>
      </c>
      <c r="J18" s="488">
        <f>(H18*I18)</f>
        <v>448.23</v>
      </c>
      <c r="K18" s="489">
        <f>J18/V63</f>
        <v>6.7699999999999996E-2</v>
      </c>
      <c r="L18" s="399"/>
      <c r="M18" s="490">
        <v>6</v>
      </c>
      <c r="N18" s="453" t="s">
        <v>60</v>
      </c>
      <c r="O18" s="617">
        <v>100000</v>
      </c>
      <c r="P18" s="453" t="s">
        <v>32</v>
      </c>
      <c r="Q18" s="471" t="s">
        <v>61</v>
      </c>
      <c r="R18" s="431" t="s">
        <v>62</v>
      </c>
      <c r="S18" s="427"/>
      <c r="T18" s="477">
        <f>(+M18/O18)</f>
        <v>6.0000000000000002E-5</v>
      </c>
      <c r="U18" s="197">
        <v>1454.6</v>
      </c>
      <c r="V18" s="479">
        <f t="shared" si="0"/>
        <v>8.7300000000000003E-2</v>
      </c>
      <c r="W18" s="480">
        <f>V18*C10/V63</f>
        <v>4.6100000000000002E-2</v>
      </c>
    </row>
    <row r="19" spans="1:23" ht="12.75">
      <c r="A19" s="492">
        <f>A18</f>
        <v>100</v>
      </c>
      <c r="B19" s="453" t="s">
        <v>21</v>
      </c>
      <c r="C19" s="478">
        <f>C18</f>
        <v>72</v>
      </c>
      <c r="D19" s="453" t="s">
        <v>56</v>
      </c>
      <c r="E19" s="471" t="s">
        <v>57</v>
      </c>
      <c r="F19" s="471" t="s">
        <v>63</v>
      </c>
      <c r="G19" s="471" t="s">
        <v>64</v>
      </c>
      <c r="H19" s="477">
        <f>(+A19/C19)/100</f>
        <v>1.3888899999999999E-2</v>
      </c>
      <c r="I19" s="478">
        <f>I18*I8</f>
        <v>0</v>
      </c>
      <c r="J19" s="488">
        <f>(H19*I19)</f>
        <v>0</v>
      </c>
      <c r="K19" s="489" t="s">
        <v>65</v>
      </c>
      <c r="L19" s="399"/>
      <c r="M19" s="490">
        <v>1</v>
      </c>
      <c r="N19" s="453" t="s">
        <v>66</v>
      </c>
      <c r="O19" s="179">
        <v>3.5</v>
      </c>
      <c r="P19" s="453" t="s">
        <v>32</v>
      </c>
      <c r="Q19" s="471" t="s">
        <v>67</v>
      </c>
      <c r="R19" s="431" t="s">
        <v>68</v>
      </c>
      <c r="S19" s="427"/>
      <c r="T19" s="477">
        <f>(+M19/O19)</f>
        <v>0.28571429999999998</v>
      </c>
      <c r="U19" s="197">
        <v>3.02</v>
      </c>
      <c r="V19" s="479">
        <f t="shared" si="0"/>
        <v>0.8629</v>
      </c>
      <c r="W19" s="480">
        <f>V19*C10/V63</f>
        <v>0.45590000000000003</v>
      </c>
    </row>
    <row r="20" spans="1:23" ht="12.75">
      <c r="A20" s="354">
        <v>18</v>
      </c>
      <c r="B20" s="484" t="s">
        <v>21</v>
      </c>
      <c r="C20" s="487">
        <v>12</v>
      </c>
      <c r="D20" s="453" t="s">
        <v>56</v>
      </c>
      <c r="E20" s="485" t="s">
        <v>57</v>
      </c>
      <c r="F20" s="485" t="s">
        <v>69</v>
      </c>
      <c r="G20" s="485" t="s">
        <v>70</v>
      </c>
      <c r="H20" s="486">
        <f>(+A20/C20)/100</f>
        <v>1.4999999999999999E-2</v>
      </c>
      <c r="I20" s="197">
        <v>41000</v>
      </c>
      <c r="J20" s="488">
        <f>(H20*I20)</f>
        <v>615</v>
      </c>
      <c r="K20" s="489">
        <f>J20/V63</f>
        <v>9.2799999999999994E-2</v>
      </c>
      <c r="L20" s="399"/>
      <c r="M20" s="490">
        <v>16</v>
      </c>
      <c r="N20" s="453" t="s">
        <v>66</v>
      </c>
      <c r="O20" s="618">
        <v>7500</v>
      </c>
      <c r="P20" s="453" t="s">
        <v>32</v>
      </c>
      <c r="Q20" s="471" t="s">
        <v>71</v>
      </c>
      <c r="R20" s="472" t="s">
        <v>72</v>
      </c>
      <c r="S20" s="473"/>
      <c r="T20" s="477">
        <f>(+M20/O20)</f>
        <v>2.1332999999999999E-3</v>
      </c>
      <c r="U20" s="197">
        <v>19</v>
      </c>
      <c r="V20" s="479">
        <f t="shared" si="0"/>
        <v>4.0500000000000001E-2</v>
      </c>
      <c r="W20" s="480">
        <f>V20*C10/V63</f>
        <v>2.1399999999999999E-2</v>
      </c>
    </row>
    <row r="21" spans="1:23" ht="12.75">
      <c r="A21" s="492">
        <f>A20</f>
        <v>18</v>
      </c>
      <c r="B21" s="453" t="s">
        <v>21</v>
      </c>
      <c r="C21" s="478">
        <f>C20</f>
        <v>12</v>
      </c>
      <c r="D21" s="453" t="s">
        <v>56</v>
      </c>
      <c r="E21" s="471" t="s">
        <v>57</v>
      </c>
      <c r="F21" s="471" t="s">
        <v>73</v>
      </c>
      <c r="G21" s="471" t="s">
        <v>74</v>
      </c>
      <c r="H21" s="477">
        <f>(+A21/C21)/100</f>
        <v>1.4999999999999999E-2</v>
      </c>
      <c r="I21" s="487">
        <f>I20*I8</f>
        <v>0</v>
      </c>
      <c r="J21" s="488">
        <f>(H21*I21)</f>
        <v>0</v>
      </c>
      <c r="K21" s="489" t="s">
        <v>65</v>
      </c>
      <c r="L21" s="399"/>
      <c r="M21" s="490">
        <v>18</v>
      </c>
      <c r="N21" s="453" t="s">
        <v>66</v>
      </c>
      <c r="O21" s="618">
        <v>30000</v>
      </c>
      <c r="P21" s="453" t="s">
        <v>32</v>
      </c>
      <c r="Q21" s="471" t="s">
        <v>75</v>
      </c>
      <c r="R21" s="472" t="s">
        <v>76</v>
      </c>
      <c r="S21" s="473"/>
      <c r="T21" s="477">
        <f>(+M21/O21)</f>
        <v>5.9999999999999995E-4</v>
      </c>
      <c r="U21" s="197">
        <v>22</v>
      </c>
      <c r="V21" s="479">
        <f t="shared" si="0"/>
        <v>1.32E-2</v>
      </c>
      <c r="W21" s="480">
        <f>V21*C10/V63</f>
        <v>7.0000000000000001E-3</v>
      </c>
    </row>
    <row r="22" spans="1:23" ht="12.75">
      <c r="A22" s="492">
        <v>1</v>
      </c>
      <c r="B22" s="453" t="s">
        <v>77</v>
      </c>
      <c r="C22" s="478">
        <v>12</v>
      </c>
      <c r="D22" s="453" t="s">
        <v>56</v>
      </c>
      <c r="E22" s="471" t="s">
        <v>57</v>
      </c>
      <c r="F22" s="471" t="s">
        <v>78</v>
      </c>
      <c r="G22" s="471" t="s">
        <v>79</v>
      </c>
      <c r="H22" s="477">
        <f>A22/C22</f>
        <v>8.3333299999999999E-2</v>
      </c>
      <c r="I22" s="398">
        <v>77</v>
      </c>
      <c r="J22" s="494">
        <f>(I22*H22)</f>
        <v>6.42</v>
      </c>
      <c r="K22" s="489">
        <f>J22/V63</f>
        <v>1E-3</v>
      </c>
      <c r="L22" s="399"/>
      <c r="M22" s="490">
        <v>1</v>
      </c>
      <c r="N22" s="453" t="s">
        <v>60</v>
      </c>
      <c r="O22" s="618">
        <v>4000</v>
      </c>
      <c r="P22" s="453" t="s">
        <v>32</v>
      </c>
      <c r="Q22" s="471" t="s">
        <v>80</v>
      </c>
      <c r="R22" s="472" t="s">
        <v>81</v>
      </c>
      <c r="S22" s="473"/>
      <c r="T22" s="477">
        <f>(+M22/O22)</f>
        <v>2.5000000000000001E-4</v>
      </c>
      <c r="U22" s="197">
        <v>100</v>
      </c>
      <c r="V22" s="479">
        <f t="shared" si="0"/>
        <v>2.5000000000000001E-2</v>
      </c>
      <c r="W22" s="480">
        <f>V22*C10/V63</f>
        <v>1.32E-2</v>
      </c>
    </row>
    <row r="23" spans="1:23" ht="12.75">
      <c r="A23" s="492">
        <v>1</v>
      </c>
      <c r="B23" s="453" t="s">
        <v>77</v>
      </c>
      <c r="C23" s="478">
        <v>12</v>
      </c>
      <c r="D23" s="453" t="s">
        <v>56</v>
      </c>
      <c r="E23" s="471" t="s">
        <v>57</v>
      </c>
      <c r="F23" s="471" t="s">
        <v>82</v>
      </c>
      <c r="G23" s="471" t="s">
        <v>83</v>
      </c>
      <c r="H23" s="477">
        <f>A23/C23</f>
        <v>8.3333299999999999E-2</v>
      </c>
      <c r="I23" s="398">
        <v>1200</v>
      </c>
      <c r="J23" s="494">
        <f>(I23*H23)</f>
        <v>100</v>
      </c>
      <c r="K23" s="489">
        <f>J23/V63</f>
        <v>1.5100000000000001E-2</v>
      </c>
      <c r="L23" s="399"/>
      <c r="M23" s="490"/>
      <c r="N23" s="466"/>
      <c r="O23" s="476"/>
      <c r="P23" s="466"/>
      <c r="Q23" s="466"/>
      <c r="R23" s="428"/>
      <c r="S23" s="473"/>
      <c r="T23" s="495"/>
      <c r="U23" s="478"/>
      <c r="V23" s="479"/>
      <c r="W23" s="464"/>
    </row>
    <row r="24" spans="1:23" ht="12.75">
      <c r="A24" s="619">
        <v>3</v>
      </c>
      <c r="B24" s="453" t="s">
        <v>84</v>
      </c>
      <c r="C24" s="478">
        <v>12</v>
      </c>
      <c r="D24" s="453" t="s">
        <v>56</v>
      </c>
      <c r="E24" s="471" t="s">
        <v>57</v>
      </c>
      <c r="F24" s="471" t="s">
        <v>85</v>
      </c>
      <c r="G24" s="471" t="s">
        <v>315</v>
      </c>
      <c r="H24" s="477">
        <f>1/12</f>
        <v>8.3333299999999999E-2</v>
      </c>
      <c r="I24" s="478">
        <f>(+I20*A24)/100</f>
        <v>1230</v>
      </c>
      <c r="J24" s="494">
        <f>(I24*H24)</f>
        <v>102.5</v>
      </c>
      <c r="K24" s="489">
        <f>J24/V63</f>
        <v>1.55E-2</v>
      </c>
      <c r="L24" s="399"/>
      <c r="M24" s="496"/>
      <c r="N24" s="460"/>
      <c r="O24" s="462"/>
      <c r="P24" s="460"/>
      <c r="Q24" s="497" t="s">
        <v>86</v>
      </c>
      <c r="R24" s="498" t="s">
        <v>87</v>
      </c>
      <c r="S24" s="499"/>
      <c r="T24" s="500"/>
      <c r="U24" s="501"/>
      <c r="V24" s="502">
        <f>SUM(V16:V22)</f>
        <v>1.1216999999999999</v>
      </c>
      <c r="W24" s="503">
        <f>V24*C10/V63</f>
        <v>0.5927</v>
      </c>
    </row>
    <row r="25" spans="1:23" ht="12.75">
      <c r="A25" s="504"/>
      <c r="B25" s="466"/>
      <c r="C25" s="478"/>
      <c r="D25" s="466"/>
      <c r="E25" s="466"/>
      <c r="F25" s="466"/>
      <c r="G25" s="466"/>
      <c r="H25" s="505"/>
      <c r="I25" s="495"/>
      <c r="J25" s="506"/>
      <c r="K25" s="432"/>
      <c r="L25" s="399"/>
      <c r="M25" s="470"/>
      <c r="N25" s="466"/>
      <c r="O25" s="466"/>
      <c r="P25" s="466"/>
      <c r="Q25" s="507"/>
      <c r="R25" s="473"/>
      <c r="S25" s="473"/>
      <c r="T25" s="466"/>
      <c r="U25" s="475"/>
      <c r="V25" s="508"/>
      <c r="W25" s="418"/>
    </row>
    <row r="26" spans="1:23" ht="12.75">
      <c r="A26" s="504"/>
      <c r="B26" s="466"/>
      <c r="C26" s="478"/>
      <c r="D26" s="466"/>
      <c r="E26" s="466"/>
      <c r="F26" s="471" t="s">
        <v>88</v>
      </c>
      <c r="G26" s="471" t="s">
        <v>89</v>
      </c>
      <c r="H26" s="505"/>
      <c r="I26" s="495"/>
      <c r="J26" s="494">
        <f>SUM(J18:J24)</f>
        <v>1272.1500000000001</v>
      </c>
      <c r="K26" s="509"/>
      <c r="L26" s="399"/>
      <c r="M26" s="510"/>
      <c r="N26" s="511"/>
      <c r="O26" s="511"/>
      <c r="P26" s="511"/>
      <c r="Q26" s="511"/>
      <c r="R26" s="512"/>
      <c r="S26" s="512"/>
      <c r="T26" s="511"/>
      <c r="U26" s="511"/>
      <c r="V26" s="513"/>
      <c r="W26" s="418"/>
    </row>
    <row r="27" spans="1:23" ht="12.75">
      <c r="A27" s="492">
        <v>100</v>
      </c>
      <c r="B27" s="453" t="s">
        <v>21</v>
      </c>
      <c r="C27" s="478">
        <v>1</v>
      </c>
      <c r="D27" s="453" t="s">
        <v>56</v>
      </c>
      <c r="E27" s="471" t="s">
        <v>57</v>
      </c>
      <c r="F27" s="466"/>
      <c r="G27" s="453" t="s">
        <v>90</v>
      </c>
      <c r="H27" s="514">
        <f>(+A27/C27)/100</f>
        <v>1</v>
      </c>
      <c r="I27" s="478"/>
      <c r="J27" s="494">
        <f>J26*H27</f>
        <v>1272.1500000000001</v>
      </c>
      <c r="K27" s="515">
        <f>J27/V63</f>
        <v>0.192</v>
      </c>
      <c r="L27" s="399"/>
      <c r="M27" s="470"/>
      <c r="N27" s="466"/>
      <c r="O27" s="466"/>
      <c r="P27" s="466"/>
      <c r="Q27" s="466"/>
      <c r="R27" s="428"/>
      <c r="S27" s="428"/>
      <c r="T27" s="466"/>
      <c r="U27" s="475"/>
      <c r="V27" s="516"/>
      <c r="W27" s="418"/>
    </row>
    <row r="28" spans="1:23" ht="12.75">
      <c r="A28" s="504"/>
      <c r="B28" s="466"/>
      <c r="C28" s="478"/>
      <c r="D28" s="466"/>
      <c r="E28" s="466"/>
      <c r="F28" s="466"/>
      <c r="G28" s="466"/>
      <c r="H28" s="514"/>
      <c r="I28" s="478"/>
      <c r="J28" s="494"/>
      <c r="K28" s="509"/>
      <c r="L28" s="399"/>
      <c r="M28" s="459"/>
      <c r="N28" s="460"/>
      <c r="O28" s="460"/>
      <c r="P28" s="460"/>
      <c r="Q28" s="460"/>
      <c r="R28" s="441"/>
      <c r="S28" s="441"/>
      <c r="T28" s="460"/>
      <c r="U28" s="517"/>
      <c r="V28" s="518"/>
      <c r="W28" s="418"/>
    </row>
    <row r="29" spans="1:23" ht="12.75">
      <c r="A29" s="504"/>
      <c r="B29" s="466"/>
      <c r="C29" s="478"/>
      <c r="D29" s="466"/>
      <c r="E29" s="487"/>
      <c r="F29" s="485"/>
      <c r="G29" s="485"/>
      <c r="H29" s="519"/>
      <c r="I29" s="520"/>
      <c r="J29" s="488"/>
      <c r="K29" s="489"/>
      <c r="L29" s="399"/>
      <c r="M29" s="521"/>
      <c r="N29" s="428"/>
      <c r="O29" s="428"/>
      <c r="P29" s="428"/>
      <c r="Q29" s="428"/>
      <c r="R29" s="428"/>
      <c r="S29" s="428"/>
      <c r="T29" s="428"/>
      <c r="U29" s="442"/>
      <c r="V29" s="442"/>
      <c r="W29" s="418"/>
    </row>
    <row r="30" spans="1:23" ht="12.75">
      <c r="A30" s="483">
        <v>2</v>
      </c>
      <c r="B30" s="484" t="s">
        <v>91</v>
      </c>
      <c r="C30" s="491">
        <f>C10</f>
        <v>3500</v>
      </c>
      <c r="D30" s="484" t="s">
        <v>92</v>
      </c>
      <c r="E30" s="522">
        <f>(+C30*H30)</f>
        <v>70</v>
      </c>
      <c r="F30" s="485" t="s">
        <v>93</v>
      </c>
      <c r="G30" s="523" t="s">
        <v>220</v>
      </c>
      <c r="H30" s="519">
        <f>(+A30/100)</f>
        <v>0.02</v>
      </c>
      <c r="I30" s="524">
        <f>V24</f>
        <v>1.1216999999999999</v>
      </c>
      <c r="J30" s="488">
        <f>(+E30*I30)</f>
        <v>78.52</v>
      </c>
      <c r="K30" s="489">
        <f>J30/V63</f>
        <v>1.1900000000000001E-2</v>
      </c>
      <c r="L30" s="399"/>
      <c r="M30" s="521"/>
      <c r="N30" s="428"/>
      <c r="O30" s="428"/>
      <c r="P30" s="428"/>
      <c r="Q30" s="428"/>
      <c r="R30" s="428"/>
      <c r="S30" s="428"/>
      <c r="T30" s="428"/>
      <c r="U30" s="442"/>
      <c r="V30" s="442"/>
      <c r="W30" s="418"/>
    </row>
    <row r="31" spans="1:23" ht="12.75">
      <c r="A31" s="492"/>
      <c r="B31" s="453"/>
      <c r="C31" s="478"/>
      <c r="D31" s="453"/>
      <c r="E31" s="491"/>
      <c r="F31" s="485"/>
      <c r="G31" s="485"/>
      <c r="H31" s="519"/>
      <c r="I31" s="520"/>
      <c r="J31" s="488"/>
      <c r="K31" s="489"/>
      <c r="L31" s="399"/>
      <c r="M31" s="521"/>
      <c r="N31" s="428"/>
      <c r="O31" s="428"/>
      <c r="P31" s="428"/>
      <c r="Q31" s="428"/>
      <c r="R31" s="428"/>
      <c r="S31" s="428"/>
      <c r="T31" s="428"/>
      <c r="U31" s="442"/>
      <c r="V31" s="442"/>
      <c r="W31" s="418"/>
    </row>
    <row r="32" spans="1:23" ht="12.75">
      <c r="A32" s="492"/>
      <c r="B32" s="453"/>
      <c r="C32" s="478"/>
      <c r="D32" s="453"/>
      <c r="E32" s="491"/>
      <c r="F32" s="485"/>
      <c r="G32" s="485"/>
      <c r="H32" s="519"/>
      <c r="I32" s="520"/>
      <c r="J32" s="488"/>
      <c r="K32" s="489"/>
      <c r="L32" s="399"/>
      <c r="M32" s="521"/>
      <c r="N32" s="428"/>
      <c r="O32" s="428"/>
      <c r="P32" s="428"/>
      <c r="Q32" s="428"/>
      <c r="R32" s="428"/>
      <c r="S32" s="428"/>
      <c r="T32" s="428"/>
      <c r="U32" s="442"/>
      <c r="V32" s="442"/>
      <c r="W32" s="418"/>
    </row>
    <row r="33" spans="1:23" ht="12.75">
      <c r="A33" s="490"/>
      <c r="B33" s="466"/>
      <c r="C33" s="478"/>
      <c r="D33" s="466"/>
      <c r="E33" s="466"/>
      <c r="F33" s="485" t="s">
        <v>100</v>
      </c>
      <c r="G33" s="466" t="s">
        <v>299</v>
      </c>
      <c r="H33" s="505"/>
      <c r="I33" s="475"/>
      <c r="J33" s="494">
        <f>SUM(J27:J32)</f>
        <v>1350.67</v>
      </c>
      <c r="K33" s="489"/>
      <c r="L33" s="399"/>
      <c r="M33" s="521"/>
      <c r="N33" s="428"/>
      <c r="O33" s="428"/>
      <c r="P33" s="428"/>
      <c r="Q33" s="428"/>
      <c r="R33" s="428"/>
      <c r="S33" s="428"/>
      <c r="T33" s="428"/>
      <c r="U33" s="442"/>
      <c r="V33" s="442"/>
      <c r="W33" s="418"/>
    </row>
    <row r="34" spans="1:23" ht="12.75">
      <c r="A34" s="490"/>
      <c r="B34" s="466"/>
      <c r="C34" s="478"/>
      <c r="D34" s="466"/>
      <c r="E34" s="525"/>
      <c r="F34" s="485"/>
      <c r="G34" s="485"/>
      <c r="H34" s="526"/>
      <c r="I34" s="527"/>
      <c r="J34" s="528"/>
      <c r="K34" s="489"/>
      <c r="L34" s="399"/>
      <c r="M34" s="416"/>
      <c r="N34" s="417"/>
      <c r="O34" s="417"/>
      <c r="P34" s="417"/>
      <c r="Q34" s="417"/>
      <c r="R34" s="417"/>
      <c r="S34" s="417"/>
      <c r="T34" s="417"/>
      <c r="U34" s="417"/>
      <c r="V34" s="417"/>
      <c r="W34" s="418"/>
    </row>
    <row r="35" spans="1:23" ht="12.75">
      <c r="A35" s="353">
        <v>2.5</v>
      </c>
      <c r="B35" s="484" t="s">
        <v>155</v>
      </c>
      <c r="C35" s="478"/>
      <c r="D35" s="453"/>
      <c r="E35" s="525"/>
      <c r="F35" s="485" t="s">
        <v>303</v>
      </c>
      <c r="G35" s="529" t="s">
        <v>302</v>
      </c>
      <c r="H35" s="505">
        <f>A35/100</f>
        <v>2.5000000000000001E-2</v>
      </c>
      <c r="I35" s="530">
        <f>J33</f>
        <v>1350.67</v>
      </c>
      <c r="J35" s="488">
        <f>H35*I35</f>
        <v>33.770000000000003</v>
      </c>
      <c r="K35" s="489">
        <f>J35/V63</f>
        <v>5.1000000000000004E-3</v>
      </c>
      <c r="L35" s="399"/>
      <c r="M35" s="416"/>
      <c r="N35" s="417"/>
      <c r="O35" s="417"/>
      <c r="P35" s="417"/>
      <c r="Q35" s="417"/>
      <c r="R35" s="417"/>
      <c r="S35" s="417"/>
      <c r="T35" s="417"/>
      <c r="U35" s="417"/>
      <c r="V35" s="417"/>
      <c r="W35" s="418"/>
    </row>
    <row r="36" spans="1:23" ht="12.75">
      <c r="A36" s="490"/>
      <c r="B36" s="453"/>
      <c r="C36" s="478"/>
      <c r="D36" s="471"/>
      <c r="E36" s="453"/>
      <c r="F36" s="471"/>
      <c r="G36" s="471"/>
      <c r="H36" s="514"/>
      <c r="I36" s="478"/>
      <c r="J36" s="494"/>
      <c r="K36" s="489"/>
      <c r="L36" s="399"/>
      <c r="M36" s="531"/>
      <c r="N36" s="532"/>
      <c r="O36" s="532"/>
      <c r="P36" s="532"/>
      <c r="Q36" s="533"/>
      <c r="R36" s="532"/>
      <c r="S36" s="532"/>
      <c r="T36" s="532"/>
      <c r="U36" s="534"/>
      <c r="V36" s="532"/>
      <c r="W36" s="408"/>
    </row>
    <row r="37" spans="1:23" ht="20.25">
      <c r="A37" s="492"/>
      <c r="B37" s="453"/>
      <c r="C37" s="478"/>
      <c r="D37" s="453"/>
      <c r="E37" s="476"/>
      <c r="F37" s="471"/>
      <c r="G37" s="471"/>
      <c r="H37" s="514"/>
      <c r="I37" s="487"/>
      <c r="J37" s="494"/>
      <c r="K37" s="489"/>
      <c r="L37" s="399"/>
      <c r="M37" s="409" t="s">
        <v>95</v>
      </c>
      <c r="N37" s="410"/>
      <c r="O37" s="410"/>
      <c r="P37" s="410"/>
      <c r="Q37" s="410"/>
      <c r="R37" s="410"/>
      <c r="S37" s="410"/>
      <c r="T37" s="410"/>
      <c r="U37" s="410"/>
      <c r="V37" s="535"/>
      <c r="W37" s="408"/>
    </row>
    <row r="38" spans="1:23" ht="12.75">
      <c r="A38" s="492"/>
      <c r="B38" s="453"/>
      <c r="C38" s="478"/>
      <c r="D38" s="453"/>
      <c r="E38" s="476"/>
      <c r="F38" s="471"/>
      <c r="G38" s="471"/>
      <c r="H38" s="514"/>
      <c r="I38" s="487"/>
      <c r="J38" s="494"/>
      <c r="K38" s="489"/>
      <c r="L38" s="399"/>
      <c r="M38" s="536"/>
      <c r="N38" s="537"/>
      <c r="O38" s="537"/>
      <c r="P38" s="537"/>
      <c r="Q38" s="537"/>
      <c r="R38" s="537"/>
      <c r="S38" s="537"/>
      <c r="T38" s="537"/>
      <c r="U38" s="537"/>
      <c r="V38" s="537"/>
      <c r="W38" s="408"/>
    </row>
    <row r="39" spans="1:23" ht="12.75">
      <c r="A39" s="492"/>
      <c r="B39" s="453"/>
      <c r="C39" s="478"/>
      <c r="D39" s="453"/>
      <c r="E39" s="476"/>
      <c r="F39" s="471"/>
      <c r="G39" s="471"/>
      <c r="H39" s="514"/>
      <c r="I39" s="487"/>
      <c r="J39" s="494"/>
      <c r="K39" s="489"/>
      <c r="L39" s="399"/>
      <c r="M39" s="538"/>
      <c r="N39" s="421"/>
      <c r="O39" s="447"/>
      <c r="P39" s="447"/>
      <c r="Q39" s="447"/>
      <c r="R39" s="450"/>
      <c r="S39" s="448"/>
      <c r="T39" s="447"/>
      <c r="U39" s="449" t="s">
        <v>33</v>
      </c>
      <c r="V39" s="539"/>
      <c r="W39" s="408"/>
    </row>
    <row r="40" spans="1:23" ht="12.75">
      <c r="A40" s="492"/>
      <c r="B40" s="453"/>
      <c r="C40" s="478"/>
      <c r="D40" s="453"/>
      <c r="E40" s="476"/>
      <c r="F40" s="471"/>
      <c r="G40" s="471"/>
      <c r="H40" s="514"/>
      <c r="I40" s="487"/>
      <c r="J40" s="494"/>
      <c r="K40" s="489"/>
      <c r="L40" s="399"/>
      <c r="M40" s="521"/>
      <c r="N40" s="428"/>
      <c r="O40" s="466"/>
      <c r="P40" s="466"/>
      <c r="Q40" s="466"/>
      <c r="R40" s="474"/>
      <c r="S40" s="540"/>
      <c r="T40" s="466"/>
      <c r="U40" s="453" t="s">
        <v>41</v>
      </c>
      <c r="V40" s="516"/>
      <c r="W40" s="408"/>
    </row>
    <row r="41" spans="1:23" ht="12.75">
      <c r="A41" s="492"/>
      <c r="B41" s="453"/>
      <c r="C41" s="478"/>
      <c r="D41" s="453"/>
      <c r="E41" s="476"/>
      <c r="F41" s="471"/>
      <c r="G41" s="471"/>
      <c r="H41" s="514"/>
      <c r="I41" s="487"/>
      <c r="J41" s="494"/>
      <c r="K41" s="489"/>
      <c r="L41" s="399"/>
      <c r="M41" s="521"/>
      <c r="N41" s="428"/>
      <c r="O41" s="541" t="s">
        <v>44</v>
      </c>
      <c r="P41" s="453" t="s">
        <v>36</v>
      </c>
      <c r="Q41" s="541" t="s">
        <v>38</v>
      </c>
      <c r="R41" s="642" t="s">
        <v>96</v>
      </c>
      <c r="S41" s="643"/>
      <c r="T41" s="453" t="s">
        <v>40</v>
      </c>
      <c r="U41" s="495" t="s">
        <v>43</v>
      </c>
      <c r="V41" s="494" t="s">
        <v>97</v>
      </c>
      <c r="W41" s="408"/>
    </row>
    <row r="42" spans="1:23" ht="12.75">
      <c r="A42" s="470"/>
      <c r="B42" s="466"/>
      <c r="C42" s="495"/>
      <c r="D42" s="466"/>
      <c r="E42" s="466"/>
      <c r="F42" s="466"/>
      <c r="G42" s="466"/>
      <c r="H42" s="466"/>
      <c r="I42" s="495"/>
      <c r="J42" s="506"/>
      <c r="K42" s="489"/>
      <c r="L42" s="399"/>
      <c r="M42" s="521"/>
      <c r="N42" s="428"/>
      <c r="O42" s="466"/>
      <c r="P42" s="447"/>
      <c r="Q42" s="472" t="s">
        <v>98</v>
      </c>
      <c r="R42" s="498" t="s">
        <v>99</v>
      </c>
      <c r="S42" s="499"/>
      <c r="T42" s="500"/>
      <c r="U42" s="501"/>
      <c r="V42" s="542" t="s">
        <v>42</v>
      </c>
      <c r="W42" s="543"/>
    </row>
    <row r="43" spans="1:23" ht="12.75">
      <c r="A43" s="459"/>
      <c r="B43" s="460"/>
      <c r="C43" s="462"/>
      <c r="D43" s="460"/>
      <c r="E43" s="460"/>
      <c r="F43" s="497" t="s">
        <v>160</v>
      </c>
      <c r="G43" s="498" t="s">
        <v>304</v>
      </c>
      <c r="H43" s="544"/>
      <c r="I43" s="544"/>
      <c r="J43" s="545">
        <f>SUM(J33:J42)</f>
        <v>1384.44</v>
      </c>
      <c r="K43" s="515">
        <f>J43/V63</f>
        <v>0.20899999999999999</v>
      </c>
      <c r="L43" s="399"/>
      <c r="M43" s="521"/>
      <c r="N43" s="428"/>
      <c r="O43" s="466"/>
      <c r="P43" s="466"/>
      <c r="Q43" s="472" t="s">
        <v>101</v>
      </c>
      <c r="R43" s="529" t="s">
        <v>102</v>
      </c>
      <c r="S43" s="546"/>
      <c r="T43" s="495"/>
      <c r="U43" s="482">
        <f>V24</f>
        <v>1.1216999999999999</v>
      </c>
      <c r="V43" s="479">
        <f>$V$24</f>
        <v>1.1216999999999999</v>
      </c>
      <c r="W43" s="418"/>
    </row>
    <row r="44" spans="1:23" ht="12.75">
      <c r="A44" s="521"/>
      <c r="B44" s="428"/>
      <c r="C44" s="428"/>
      <c r="D44" s="428"/>
      <c r="E44" s="428"/>
      <c r="F44" s="472"/>
      <c r="G44" s="472"/>
      <c r="H44" s="472"/>
      <c r="I44" s="472"/>
      <c r="J44" s="442"/>
      <c r="K44" s="547"/>
      <c r="L44" s="399"/>
      <c r="M44" s="521"/>
      <c r="N44" s="428"/>
      <c r="O44" s="478">
        <f>C51</f>
        <v>5.5</v>
      </c>
      <c r="P44" s="453" t="s">
        <v>21</v>
      </c>
      <c r="Q44" s="472" t="s">
        <v>103</v>
      </c>
      <c r="R44" s="529" t="s">
        <v>106</v>
      </c>
      <c r="S44" s="546"/>
      <c r="T44" s="505">
        <f>(+O44/100)</f>
        <v>5.5E-2</v>
      </c>
      <c r="U44" s="495"/>
      <c r="V44" s="479">
        <f>(+V43*T44)</f>
        <v>6.1699999999999998E-2</v>
      </c>
      <c r="W44" s="480">
        <f>V44*C15/V63</f>
        <v>0</v>
      </c>
    </row>
    <row r="45" spans="1:23" ht="20.25">
      <c r="A45" s="548" t="s">
        <v>104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09"/>
      <c r="L45" s="399"/>
      <c r="M45" s="521"/>
      <c r="N45" s="428"/>
      <c r="O45" s="478" t="s">
        <v>107</v>
      </c>
      <c r="P45" s="466"/>
      <c r="Q45" s="472" t="s">
        <v>105</v>
      </c>
      <c r="R45" s="529" t="s">
        <v>283</v>
      </c>
      <c r="S45" s="546"/>
      <c r="T45" s="466"/>
      <c r="U45" s="495"/>
      <c r="V45" s="479">
        <f>SUM(V43:V44)</f>
        <v>1.1834</v>
      </c>
      <c r="W45" s="480"/>
    </row>
    <row r="46" spans="1:23" ht="20.25">
      <c r="A46" s="521"/>
      <c r="B46" s="428"/>
      <c r="C46" s="428"/>
      <c r="D46" s="428"/>
      <c r="E46" s="428"/>
      <c r="F46" s="428"/>
      <c r="G46" s="473"/>
      <c r="H46" s="428"/>
      <c r="I46" s="428"/>
      <c r="J46" s="428"/>
      <c r="K46" s="412"/>
      <c r="L46" s="399"/>
      <c r="M46" s="521"/>
      <c r="N46" s="428"/>
      <c r="O46" s="478">
        <f>C54</f>
        <v>0</v>
      </c>
      <c r="P46" s="453" t="s">
        <v>21</v>
      </c>
      <c r="Q46" s="472" t="s">
        <v>108</v>
      </c>
      <c r="R46" s="529" t="s">
        <v>110</v>
      </c>
      <c r="S46" s="546"/>
      <c r="T46" s="505">
        <f>(+O46/100)</f>
        <v>0</v>
      </c>
      <c r="U46" s="550">
        <f>V45</f>
        <v>1.1834</v>
      </c>
      <c r="V46" s="479">
        <f>(+V45*T46)</f>
        <v>0</v>
      </c>
      <c r="W46" s="480">
        <f>V46*C15/V63</f>
        <v>0</v>
      </c>
    </row>
    <row r="47" spans="1:23" ht="12.75">
      <c r="A47" s="538"/>
      <c r="B47" s="448"/>
      <c r="C47" s="447"/>
      <c r="D47" s="447"/>
      <c r="E47" s="447"/>
      <c r="F47" s="551"/>
      <c r="G47" s="552"/>
      <c r="H47" s="456"/>
      <c r="I47" s="449" t="s">
        <v>33</v>
      </c>
      <c r="J47" s="450"/>
      <c r="K47" s="432"/>
      <c r="L47" s="399"/>
      <c r="M47" s="521"/>
      <c r="N47" s="428"/>
      <c r="O47" s="478" t="s">
        <v>107</v>
      </c>
      <c r="P47" s="466"/>
      <c r="Q47" s="472" t="s">
        <v>109</v>
      </c>
      <c r="R47" s="529" t="s">
        <v>284</v>
      </c>
      <c r="S47" s="546"/>
      <c r="T47" s="466"/>
      <c r="U47" s="495"/>
      <c r="V47" s="479">
        <f>SUM(V45:V46)</f>
        <v>1.1834</v>
      </c>
      <c r="W47" s="480"/>
    </row>
    <row r="48" spans="1:23" ht="12.75">
      <c r="A48" s="521"/>
      <c r="B48" s="540"/>
      <c r="C48" s="453" t="s">
        <v>44</v>
      </c>
      <c r="D48" s="453" t="s">
        <v>36</v>
      </c>
      <c r="E48" s="453" t="s">
        <v>38</v>
      </c>
      <c r="F48" s="642" t="s">
        <v>39</v>
      </c>
      <c r="G48" s="643"/>
      <c r="H48" s="453" t="s">
        <v>40</v>
      </c>
      <c r="I48" s="453" t="s">
        <v>41</v>
      </c>
      <c r="J48" s="454" t="s">
        <v>42</v>
      </c>
      <c r="K48" s="432"/>
      <c r="L48" s="399"/>
      <c r="M48" s="521"/>
      <c r="N48" s="428"/>
      <c r="O48" s="478">
        <f>C57</f>
        <v>9</v>
      </c>
      <c r="P48" s="453" t="s">
        <v>21</v>
      </c>
      <c r="Q48" s="472" t="s">
        <v>111</v>
      </c>
      <c r="R48" s="529" t="s">
        <v>113</v>
      </c>
      <c r="S48" s="546"/>
      <c r="T48" s="505">
        <f>(+O48/100)</f>
        <v>0.09</v>
      </c>
      <c r="U48" s="550">
        <f>V47</f>
        <v>1.1834</v>
      </c>
      <c r="V48" s="479">
        <f>(+V47*T48)</f>
        <v>0.1065</v>
      </c>
      <c r="W48" s="480">
        <f>V48*C15/V63</f>
        <v>0</v>
      </c>
    </row>
    <row r="49" spans="1:25" ht="12.75">
      <c r="A49" s="521"/>
      <c r="B49" s="540"/>
      <c r="C49" s="460"/>
      <c r="D49" s="460"/>
      <c r="E49" s="460"/>
      <c r="F49" s="463"/>
      <c r="G49" s="441"/>
      <c r="H49" s="468"/>
      <c r="I49" s="462" t="s">
        <v>43</v>
      </c>
      <c r="J49" s="463"/>
      <c r="K49" s="553"/>
      <c r="L49" s="399"/>
      <c r="M49" s="521"/>
      <c r="N49" s="428"/>
      <c r="O49" s="478" t="s">
        <v>107</v>
      </c>
      <c r="P49" s="466"/>
      <c r="Q49" s="472" t="s">
        <v>112</v>
      </c>
      <c r="R49" s="529" t="s">
        <v>285</v>
      </c>
      <c r="S49" s="546"/>
      <c r="T49" s="466"/>
      <c r="U49" s="495"/>
      <c r="V49" s="479">
        <f>SUM(V47:V48)</f>
        <v>1.2899</v>
      </c>
      <c r="W49" s="480"/>
    </row>
    <row r="50" spans="1:25" ht="12.75">
      <c r="A50" s="521"/>
      <c r="B50" s="540"/>
      <c r="C50" s="466"/>
      <c r="D50" s="466"/>
      <c r="E50" s="471" t="s">
        <v>114</v>
      </c>
      <c r="F50" s="554" t="s">
        <v>140</v>
      </c>
      <c r="G50" s="421"/>
      <c r="H50" s="555"/>
      <c r="I50" s="478">
        <f>J43</f>
        <v>1384.44</v>
      </c>
      <c r="J50" s="556">
        <f>J43</f>
        <v>1384.44</v>
      </c>
      <c r="K50" s="432"/>
      <c r="L50" s="399"/>
      <c r="M50" s="521"/>
      <c r="N50" s="428"/>
      <c r="O50" s="514">
        <f>C60</f>
        <v>7.81</v>
      </c>
      <c r="P50" s="453" t="s">
        <v>21</v>
      </c>
      <c r="Q50" s="472" t="s">
        <v>118</v>
      </c>
      <c r="R50" s="529" t="s">
        <v>119</v>
      </c>
      <c r="S50" s="546"/>
      <c r="T50" s="505">
        <f>(+O50/100)</f>
        <v>7.8100000000000003E-2</v>
      </c>
      <c r="U50" s="495"/>
      <c r="V50" s="479">
        <f>(+V53*T50)</f>
        <v>0.10929999999999999</v>
      </c>
      <c r="W50" s="480">
        <f>V50*C15/V63</f>
        <v>0</v>
      </c>
    </row>
    <row r="51" spans="1:25" ht="12.75">
      <c r="A51" s="521"/>
      <c r="B51" s="540"/>
      <c r="C51" s="179">
        <v>5.5</v>
      </c>
      <c r="D51" s="453" t="s">
        <v>21</v>
      </c>
      <c r="E51" s="471" t="s">
        <v>117</v>
      </c>
      <c r="F51" s="529" t="s">
        <v>106</v>
      </c>
      <c r="G51" s="546"/>
      <c r="H51" s="505">
        <f>(C51/100)</f>
        <v>5.5E-2</v>
      </c>
      <c r="I51" s="466"/>
      <c r="J51" s="494">
        <f>(+J50*H51)</f>
        <v>76.14</v>
      </c>
      <c r="K51" s="489">
        <f>J51/V63</f>
        <v>1.15E-2</v>
      </c>
      <c r="L51" s="399"/>
      <c r="M51" s="521"/>
      <c r="N51" s="428"/>
      <c r="O51" s="466"/>
      <c r="P51" s="466"/>
      <c r="Q51" s="474"/>
      <c r="R51" s="474"/>
      <c r="S51" s="540"/>
      <c r="T51" s="474"/>
      <c r="U51" s="506"/>
      <c r="V51" s="506"/>
      <c r="W51" s="557"/>
    </row>
    <row r="52" spans="1:25" ht="12.75">
      <c r="A52" s="521"/>
      <c r="B52" s="540"/>
      <c r="C52" s="478" t="s">
        <v>107</v>
      </c>
      <c r="D52" s="466"/>
      <c r="E52" s="466"/>
      <c r="F52" s="474"/>
      <c r="G52" s="428"/>
      <c r="H52" s="505"/>
      <c r="I52" s="475"/>
      <c r="J52" s="494"/>
      <c r="K52" s="558"/>
      <c r="L52" s="399"/>
      <c r="M52" s="521"/>
      <c r="N52" s="428"/>
      <c r="O52" s="478" t="s">
        <v>107</v>
      </c>
      <c r="P52" s="466"/>
      <c r="Q52" s="428"/>
      <c r="R52" s="474"/>
      <c r="S52" s="540"/>
      <c r="T52" s="495"/>
      <c r="U52" s="495"/>
      <c r="V52" s="479"/>
      <c r="W52" s="464"/>
    </row>
    <row r="53" spans="1:25" ht="12.75">
      <c r="A53" s="521"/>
      <c r="B53" s="540"/>
      <c r="C53" s="559"/>
      <c r="D53" s="466"/>
      <c r="E53" s="471" t="s">
        <v>120</v>
      </c>
      <c r="F53" s="529" t="s">
        <v>289</v>
      </c>
      <c r="G53" s="428"/>
      <c r="H53" s="505"/>
      <c r="I53" s="466"/>
      <c r="J53" s="494">
        <f>SUM(J50:J51)</f>
        <v>1460.58</v>
      </c>
      <c r="K53" s="489"/>
      <c r="L53" s="399"/>
      <c r="M53" s="560"/>
      <c r="N53" s="441"/>
      <c r="O53" s="561" t="s">
        <v>107</v>
      </c>
      <c r="P53" s="460"/>
      <c r="Q53" s="562" t="s">
        <v>116</v>
      </c>
      <c r="R53" s="498" t="s">
        <v>293</v>
      </c>
      <c r="S53" s="501"/>
      <c r="T53" s="563"/>
      <c r="U53" s="500"/>
      <c r="V53" s="502">
        <f>V49/(1-T50)</f>
        <v>1.3992</v>
      </c>
      <c r="W53" s="564">
        <f>V53*C10/V63</f>
        <v>0.73929999999999996</v>
      </c>
      <c r="Y53" s="130"/>
    </row>
    <row r="54" spans="1:25" ht="12.75">
      <c r="A54" s="521"/>
      <c r="B54" s="540"/>
      <c r="C54" s="478">
        <v>0</v>
      </c>
      <c r="D54" s="453" t="s">
        <v>21</v>
      </c>
      <c r="E54" s="471" t="s">
        <v>121</v>
      </c>
      <c r="F54" s="529" t="s">
        <v>110</v>
      </c>
      <c r="G54" s="546"/>
      <c r="H54" s="505">
        <f>(C54/100)</f>
        <v>0</v>
      </c>
      <c r="I54" s="565">
        <f>J53</f>
        <v>1460.58</v>
      </c>
      <c r="J54" s="494">
        <f>(+J53*H54)</f>
        <v>0</v>
      </c>
      <c r="K54" s="489">
        <f>J54/V63</f>
        <v>0</v>
      </c>
      <c r="L54" s="399"/>
      <c r="M54" s="566"/>
      <c r="N54" s="512"/>
      <c r="O54" s="512"/>
      <c r="P54" s="512"/>
      <c r="Q54" s="512"/>
      <c r="R54" s="512"/>
      <c r="S54" s="512"/>
      <c r="T54" s="512"/>
      <c r="U54" s="512"/>
      <c r="V54" s="512"/>
      <c r="W54" s="418"/>
    </row>
    <row r="55" spans="1:25" ht="12.75">
      <c r="A55" s="521"/>
      <c r="B55" s="540"/>
      <c r="C55" s="478" t="s">
        <v>107</v>
      </c>
      <c r="D55" s="466"/>
      <c r="E55" s="466"/>
      <c r="F55" s="474"/>
      <c r="G55" s="428"/>
      <c r="H55" s="505"/>
      <c r="I55" s="475"/>
      <c r="J55" s="494"/>
      <c r="K55" s="558"/>
      <c r="L55" s="399"/>
      <c r="M55" s="521"/>
      <c r="N55" s="428"/>
      <c r="O55" s="428"/>
      <c r="P55" s="428"/>
      <c r="Q55" s="428"/>
      <c r="R55" s="428"/>
      <c r="S55" s="428"/>
      <c r="T55" s="428"/>
      <c r="U55" s="428"/>
      <c r="V55" s="428"/>
      <c r="W55" s="418"/>
    </row>
    <row r="56" spans="1:25" ht="13.5" thickBot="1">
      <c r="A56" s="521"/>
      <c r="B56" s="540"/>
      <c r="C56" s="478" t="s">
        <v>107</v>
      </c>
      <c r="D56" s="466"/>
      <c r="E56" s="471" t="s">
        <v>122</v>
      </c>
      <c r="F56" s="529" t="s">
        <v>290</v>
      </c>
      <c r="G56" s="428"/>
      <c r="H56" s="505"/>
      <c r="I56" s="466"/>
      <c r="J56" s="494">
        <f>SUM(J53:J54)</f>
        <v>1460.58</v>
      </c>
      <c r="K56" s="558"/>
      <c r="L56" s="399"/>
      <c r="M56" s="521"/>
      <c r="N56" s="428"/>
      <c r="O56" s="428"/>
      <c r="P56" s="428"/>
      <c r="Q56" s="428"/>
      <c r="R56" s="428"/>
      <c r="S56" s="428"/>
      <c r="T56" s="428"/>
      <c r="U56" s="428"/>
      <c r="V56" s="428"/>
      <c r="W56" s="418"/>
    </row>
    <row r="57" spans="1:25" ht="20.25">
      <c r="A57" s="521"/>
      <c r="B57" s="540"/>
      <c r="C57" s="179">
        <v>9</v>
      </c>
      <c r="D57" s="453" t="s">
        <v>21</v>
      </c>
      <c r="E57" s="471" t="s">
        <v>123</v>
      </c>
      <c r="F57" s="529" t="s">
        <v>292</v>
      </c>
      <c r="G57" s="546"/>
      <c r="H57" s="505">
        <f>(C57/100)</f>
        <v>0.09</v>
      </c>
      <c r="I57" s="565">
        <f>J56</f>
        <v>1460.58</v>
      </c>
      <c r="J57" s="494">
        <f>(+J56*H57)</f>
        <v>131.44999999999999</v>
      </c>
      <c r="K57" s="489">
        <f>J57/V63</f>
        <v>1.9800000000000002E-2</v>
      </c>
      <c r="L57" s="399"/>
      <c r="M57" s="521"/>
      <c r="N57" s="428"/>
      <c r="O57" s="428"/>
      <c r="P57" s="428"/>
      <c r="Q57" s="567" t="s">
        <v>124</v>
      </c>
      <c r="R57" s="568"/>
      <c r="S57" s="568"/>
      <c r="T57" s="568"/>
      <c r="U57" s="568"/>
      <c r="V57" s="568"/>
      <c r="W57" s="418"/>
    </row>
    <row r="58" spans="1:25" ht="13.5" thickBot="1">
      <c r="A58" s="521"/>
      <c r="B58" s="540"/>
      <c r="C58" s="478" t="s">
        <v>107</v>
      </c>
      <c r="D58" s="466"/>
      <c r="E58" s="466"/>
      <c r="F58" s="474"/>
      <c r="G58" s="428"/>
      <c r="H58" s="505"/>
      <c r="I58" s="466"/>
      <c r="J58" s="494"/>
      <c r="K58" s="558"/>
      <c r="L58" s="399"/>
      <c r="M58" s="521"/>
      <c r="N58" s="428"/>
      <c r="O58" s="428"/>
      <c r="P58" s="428"/>
      <c r="Q58" s="569"/>
      <c r="R58" s="570"/>
      <c r="S58" s="570"/>
      <c r="T58" s="570"/>
      <c r="U58" s="570"/>
      <c r="V58" s="570"/>
      <c r="W58" s="418"/>
    </row>
    <row r="59" spans="1:25" ht="13.5" thickBot="1">
      <c r="A59" s="521"/>
      <c r="B59" s="540"/>
      <c r="C59" s="478" t="s">
        <v>107</v>
      </c>
      <c r="D59" s="466"/>
      <c r="E59" s="471" t="s">
        <v>125</v>
      </c>
      <c r="F59" s="529" t="s">
        <v>128</v>
      </c>
      <c r="G59" s="428"/>
      <c r="H59" s="505"/>
      <c r="I59" s="466"/>
      <c r="J59" s="494">
        <f>SUM(J56:J57)</f>
        <v>1592.03</v>
      </c>
      <c r="K59" s="558"/>
      <c r="L59" s="399"/>
      <c r="M59" s="521"/>
      <c r="N59" s="428"/>
      <c r="O59" s="428"/>
      <c r="P59" s="428"/>
      <c r="Q59" s="571" t="s">
        <v>287</v>
      </c>
      <c r="R59" s="572" t="s">
        <v>294</v>
      </c>
      <c r="S59" s="573"/>
      <c r="T59" s="573"/>
      <c r="U59" s="573"/>
      <c r="V59" s="574">
        <f>C10*V53</f>
        <v>4897.2</v>
      </c>
      <c r="W59" s="575">
        <f>V59/V63</f>
        <v>0.73929999999999996</v>
      </c>
    </row>
    <row r="60" spans="1:25" ht="13.5" thickBot="1">
      <c r="A60" s="521"/>
      <c r="B60" s="540"/>
      <c r="C60" s="179">
        <f>(15%*C57)+(9%*C57)+3.65+2</f>
        <v>7.81</v>
      </c>
      <c r="D60" s="453" t="s">
        <v>21</v>
      </c>
      <c r="E60" s="471" t="s">
        <v>131</v>
      </c>
      <c r="F60" s="529" t="s">
        <v>119</v>
      </c>
      <c r="G60" s="546"/>
      <c r="H60" s="505">
        <f>(C60/100)</f>
        <v>7.8100000000000003E-2</v>
      </c>
      <c r="I60" s="466"/>
      <c r="J60" s="494">
        <f>(+J63*H60)</f>
        <v>134.87</v>
      </c>
      <c r="K60" s="489">
        <f>J60/V63</f>
        <v>2.0400000000000001E-2</v>
      </c>
      <c r="L60" s="399"/>
      <c r="M60" s="521"/>
      <c r="N60" s="428"/>
      <c r="O60" s="428"/>
      <c r="P60" s="428"/>
      <c r="Q60" s="576" t="s">
        <v>126</v>
      </c>
      <c r="R60" s="472" t="s">
        <v>130</v>
      </c>
      <c r="S60" s="428"/>
      <c r="T60" s="428"/>
      <c r="U60" s="472"/>
      <c r="V60" s="442">
        <f>J63</f>
        <v>1726.9</v>
      </c>
      <c r="W60" s="575">
        <f>V60/V63</f>
        <v>0.26069999999999999</v>
      </c>
    </row>
    <row r="61" spans="1:25" ht="12.75">
      <c r="A61" s="521"/>
      <c r="B61" s="540"/>
      <c r="C61" s="466"/>
      <c r="D61" s="466"/>
      <c r="E61" s="474"/>
      <c r="F61" s="474"/>
      <c r="G61" s="540"/>
      <c r="H61" s="466"/>
      <c r="I61" s="466"/>
      <c r="J61" s="495"/>
      <c r="K61" s="557"/>
      <c r="L61" s="399"/>
      <c r="M61" s="521"/>
      <c r="N61" s="428"/>
      <c r="O61" s="428"/>
      <c r="P61" s="428"/>
      <c r="Q61" s="577"/>
      <c r="R61" s="578"/>
      <c r="S61" s="579"/>
      <c r="T61" s="579"/>
      <c r="U61" s="578"/>
      <c r="V61" s="580"/>
      <c r="W61" s="418"/>
    </row>
    <row r="62" spans="1:25" ht="13.5" thickBot="1">
      <c r="A62" s="521"/>
      <c r="B62" s="540"/>
      <c r="C62" s="478" t="s">
        <v>107</v>
      </c>
      <c r="D62" s="466"/>
      <c r="E62" s="466"/>
      <c r="F62" s="474"/>
      <c r="G62" s="428"/>
      <c r="H62" s="495"/>
      <c r="I62" s="495"/>
      <c r="J62" s="494"/>
      <c r="K62" s="558"/>
      <c r="L62" s="399"/>
      <c r="M62" s="521"/>
      <c r="N62" s="428"/>
      <c r="O62" s="428"/>
      <c r="P62" s="428"/>
      <c r="Q62" s="521"/>
      <c r="R62" s="428"/>
      <c r="S62" s="428"/>
      <c r="T62" s="428"/>
      <c r="U62" s="428"/>
      <c r="V62" s="473"/>
      <c r="W62" s="581"/>
    </row>
    <row r="63" spans="1:25" ht="13.5" thickBot="1">
      <c r="A63" s="582"/>
      <c r="B63" s="583"/>
      <c r="C63" s="584" t="s">
        <v>107</v>
      </c>
      <c r="D63" s="585"/>
      <c r="E63" s="586" t="s">
        <v>132</v>
      </c>
      <c r="F63" s="587" t="s">
        <v>133</v>
      </c>
      <c r="G63" s="588"/>
      <c r="H63" s="588"/>
      <c r="I63" s="588"/>
      <c r="J63" s="589">
        <f>J59/(1-H60)</f>
        <v>1726.9</v>
      </c>
      <c r="K63" s="590">
        <f>J63/V63</f>
        <v>0.26069999999999999</v>
      </c>
      <c r="L63" s="399"/>
      <c r="M63" s="582"/>
      <c r="N63" s="591"/>
      <c r="O63" s="591"/>
      <c r="P63" s="591"/>
      <c r="Q63" s="592" t="s">
        <v>129</v>
      </c>
      <c r="R63" s="593" t="s">
        <v>288</v>
      </c>
      <c r="S63" s="594"/>
      <c r="T63" s="594"/>
      <c r="U63" s="593"/>
      <c r="V63" s="595">
        <f>V59+J63</f>
        <v>6624.1</v>
      </c>
      <c r="W63" s="596">
        <f>SUM(W59:W62)</f>
        <v>1</v>
      </c>
    </row>
    <row r="64" spans="1:25" ht="12.75">
      <c r="A64" s="597" t="s">
        <v>174</v>
      </c>
      <c r="B64" s="598"/>
      <c r="C64" s="598"/>
      <c r="D64" s="598"/>
      <c r="E64" s="599">
        <v>8000</v>
      </c>
      <c r="F64" s="600" t="s">
        <v>175</v>
      </c>
      <c r="G64" s="601"/>
      <c r="H64" s="601"/>
      <c r="I64" s="601"/>
      <c r="J64" s="601"/>
      <c r="K64" s="602"/>
    </row>
    <row r="65" spans="1:19" ht="12.75">
      <c r="A65" s="603" t="s">
        <v>141</v>
      </c>
      <c r="B65" s="425"/>
      <c r="C65" s="425"/>
      <c r="D65" s="425"/>
      <c r="E65" s="604">
        <v>24</v>
      </c>
      <c r="F65" s="605"/>
      <c r="G65" s="417"/>
      <c r="H65" s="417"/>
      <c r="I65" s="417"/>
      <c r="J65" s="417"/>
      <c r="K65" s="606"/>
    </row>
    <row r="66" spans="1:19" ht="13.5" thickBot="1">
      <c r="A66" s="603" t="s">
        <v>176</v>
      </c>
      <c r="B66" s="425"/>
      <c r="C66" s="425"/>
      <c r="D66" s="425"/>
      <c r="E66" s="604">
        <f>E64*E65</f>
        <v>192000</v>
      </c>
      <c r="F66" s="607" t="s">
        <v>175</v>
      </c>
      <c r="G66" s="417"/>
      <c r="H66" s="417"/>
      <c r="I66" s="417"/>
      <c r="J66" s="417"/>
      <c r="K66" s="606"/>
    </row>
    <row r="67" spans="1:19" ht="20.25" thickBot="1">
      <c r="A67" s="608" t="s">
        <v>322</v>
      </c>
      <c r="B67" s="609"/>
      <c r="C67" s="609"/>
      <c r="D67" s="609"/>
      <c r="E67" s="610"/>
      <c r="F67" s="611">
        <f>V63</f>
        <v>6624.1</v>
      </c>
      <c r="G67" s="612" t="s">
        <v>323</v>
      </c>
      <c r="H67" s="610"/>
      <c r="I67" s="610"/>
      <c r="J67" s="613">
        <f>V63/E66</f>
        <v>0.03</v>
      </c>
      <c r="K67" s="614"/>
    </row>
    <row r="69" spans="1:19" ht="15.75">
      <c r="A69" s="30" t="s">
        <v>135</v>
      </c>
    </row>
    <row r="71" spans="1:19" ht="15.75">
      <c r="A71" s="30" t="s">
        <v>345</v>
      </c>
      <c r="G71" s="13"/>
      <c r="M71" s="11"/>
      <c r="S71" s="13"/>
    </row>
    <row r="72" spans="1:19" ht="15">
      <c r="G72" s="11"/>
      <c r="H72" s="11"/>
      <c r="I72" s="11"/>
      <c r="S72" s="11"/>
    </row>
    <row r="73" spans="1:19" ht="12.75" thickBot="1">
      <c r="A73" s="217"/>
      <c r="B73" s="217"/>
      <c r="C73" s="694"/>
      <c r="D73" s="694"/>
      <c r="E73" s="694"/>
      <c r="F73" s="694"/>
      <c r="G73" s="217"/>
      <c r="H73" s="217"/>
      <c r="I73" s="217"/>
      <c r="J73" s="217"/>
    </row>
    <row r="74" spans="1:19" ht="12.75" thickTop="1">
      <c r="C74" s="1" t="s">
        <v>346</v>
      </c>
    </row>
    <row r="75" spans="1:19">
      <c r="C75" s="1" t="s">
        <v>347</v>
      </c>
    </row>
    <row r="97" ht="2.25" customHeight="1"/>
    <row r="98" ht="12.75" customHeight="1"/>
    <row r="99" ht="0.75" customHeight="1"/>
    <row r="124" spans="12:15" ht="12.75">
      <c r="L124" s="218"/>
      <c r="M124" s="219"/>
      <c r="N124" s="218"/>
      <c r="O124" s="219"/>
    </row>
    <row r="125" spans="12:15" ht="12.75">
      <c r="L125" s="218"/>
      <c r="M125" s="218"/>
      <c r="N125" s="218"/>
      <c r="O125" s="220"/>
    </row>
    <row r="126" spans="12:15" ht="12.75">
      <c r="L126" s="218"/>
      <c r="M126" s="218"/>
      <c r="N126" s="218"/>
      <c r="O126" s="220"/>
    </row>
    <row r="127" spans="12:15" ht="12.75">
      <c r="L127" s="218"/>
      <c r="M127" s="218"/>
      <c r="N127" s="218"/>
      <c r="O127" s="220"/>
    </row>
    <row r="128" spans="12:15" ht="12.75">
      <c r="L128" s="2"/>
      <c r="M128" s="2"/>
      <c r="N128" s="2"/>
      <c r="O128" s="221"/>
    </row>
    <row r="129" spans="1:12" ht="12.75">
      <c r="A129" s="218"/>
      <c r="B129" s="218"/>
      <c r="C129" s="218"/>
      <c r="D129" s="218"/>
      <c r="E129" s="222"/>
      <c r="F129" s="222"/>
      <c r="G129" s="222"/>
      <c r="H129" s="222"/>
      <c r="I129" s="222"/>
      <c r="J129" s="222"/>
      <c r="K129" s="222"/>
    </row>
    <row r="130" spans="1:12" ht="12.75">
      <c r="A130" s="218"/>
      <c r="B130" s="218"/>
      <c r="C130" s="218"/>
      <c r="D130" s="218"/>
      <c r="E130" s="218"/>
      <c r="F130" s="218"/>
      <c r="G130" s="218"/>
      <c r="H130" s="218"/>
      <c r="I130" s="218"/>
      <c r="J130" s="223"/>
      <c r="K130" s="223"/>
      <c r="L130" s="130"/>
    </row>
    <row r="131" spans="1:12" ht="12.75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</row>
    <row r="132" spans="1:12" ht="12.75">
      <c r="A132" s="218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</row>
    <row r="133" spans="1:12" ht="12.75">
      <c r="A133" s="218"/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</row>
    <row r="134" spans="1:12" ht="12.75">
      <c r="A134" s="218"/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</row>
    <row r="135" spans="1:12" ht="12.75">
      <c r="A135" s="2"/>
      <c r="B135" s="2"/>
      <c r="C135" s="2"/>
      <c r="D135" s="2"/>
      <c r="E135" s="224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25"/>
      <c r="F136" s="225"/>
      <c r="G136" s="225"/>
      <c r="H136" s="225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21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5"/>
      <c r="C144" s="2"/>
      <c r="D144" s="221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6"/>
      <c r="C147" s="4"/>
      <c r="D147" s="226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</row>
    <row r="151" spans="1:12">
      <c r="A151" s="4"/>
      <c r="B151" s="4"/>
      <c r="C151" s="6"/>
      <c r="D151" s="4"/>
      <c r="E151" s="4"/>
      <c r="F151" s="4"/>
      <c r="G151" s="227"/>
      <c r="H151" s="227"/>
      <c r="L151" s="4"/>
    </row>
    <row r="152" spans="1:12">
      <c r="A152" s="7"/>
      <c r="B152" s="7"/>
      <c r="C152" s="7"/>
      <c r="D152" s="7"/>
      <c r="E152" s="7"/>
      <c r="F152" s="7"/>
      <c r="G152" s="7"/>
      <c r="H152" s="7"/>
      <c r="L152" s="4"/>
    </row>
    <row r="153" spans="1:12">
      <c r="A153" s="4"/>
      <c r="B153" s="4"/>
      <c r="C153" s="4"/>
      <c r="D153" s="4"/>
      <c r="E153" s="4"/>
      <c r="F153" s="4"/>
      <c r="G153" s="4"/>
      <c r="H153" s="4"/>
      <c r="L153" s="4"/>
    </row>
    <row r="154" spans="1:12">
      <c r="A154" s="4"/>
      <c r="B154" s="4"/>
      <c r="C154" s="4"/>
      <c r="D154" s="4"/>
      <c r="E154" s="4"/>
      <c r="F154" s="4"/>
      <c r="G154" s="4"/>
      <c r="H154" s="4"/>
      <c r="L154" s="4"/>
    </row>
    <row r="155" spans="1:12">
      <c r="B155" s="228"/>
      <c r="C155" s="229"/>
      <c r="G155" s="230"/>
      <c r="H155" s="229"/>
      <c r="L155" s="4"/>
    </row>
    <row r="156" spans="1:12">
      <c r="G156" s="231"/>
      <c r="L156" s="4"/>
    </row>
    <row r="157" spans="1:12">
      <c r="G157" s="231"/>
      <c r="L157" s="4"/>
    </row>
    <row r="158" spans="1:12">
      <c r="B158" s="228"/>
      <c r="C158" s="229"/>
      <c r="G158" s="230"/>
      <c r="H158" s="229"/>
      <c r="L158" s="4"/>
    </row>
    <row r="159" spans="1:12">
      <c r="G159" s="20"/>
      <c r="L159" s="4"/>
    </row>
    <row r="160" spans="1:12">
      <c r="G160" s="20"/>
      <c r="L160" s="4"/>
    </row>
    <row r="161" spans="1:12">
      <c r="B161" s="3"/>
      <c r="C161" s="232"/>
      <c r="G161" s="230"/>
      <c r="H161" s="229"/>
      <c r="L161" s="4"/>
    </row>
    <row r="162" spans="1:12">
      <c r="G162" s="20"/>
      <c r="L162" s="4"/>
    </row>
    <row r="163" spans="1:12">
      <c r="G163" s="20"/>
      <c r="L163" s="4"/>
    </row>
    <row r="164" spans="1:12">
      <c r="B164" s="3"/>
      <c r="C164" s="233"/>
      <c r="G164" s="230"/>
      <c r="H164" s="234"/>
      <c r="L164" s="4"/>
    </row>
    <row r="165" spans="1:12">
      <c r="J165" s="4"/>
      <c r="K165" s="4"/>
      <c r="L165" s="4"/>
    </row>
    <row r="166" spans="1:12">
      <c r="A166" s="235"/>
      <c r="B166" s="235"/>
      <c r="C166" s="235"/>
      <c r="D166" s="235"/>
      <c r="E166" s="235"/>
      <c r="F166" s="235"/>
      <c r="G166" s="235"/>
      <c r="H166" s="235"/>
      <c r="I166" s="235"/>
      <c r="J166" s="7"/>
      <c r="K166" s="7"/>
      <c r="L166" s="4"/>
    </row>
    <row r="167" spans="1:12">
      <c r="J167" s="4"/>
      <c r="K167" s="4"/>
      <c r="L167" s="4"/>
    </row>
    <row r="168" spans="1:12">
      <c r="B168" s="228"/>
      <c r="D168" s="234"/>
      <c r="J168" s="4"/>
      <c r="K168" s="4"/>
      <c r="L168" s="4"/>
    </row>
    <row r="169" spans="1:12">
      <c r="J169" s="4"/>
      <c r="K169" s="4"/>
      <c r="L169" s="4"/>
    </row>
    <row r="170" spans="1:12">
      <c r="A170" s="235"/>
      <c r="B170" s="235"/>
      <c r="C170" s="235"/>
      <c r="D170" s="235"/>
      <c r="E170" s="235"/>
      <c r="F170" s="235"/>
      <c r="G170" s="235"/>
      <c r="H170" s="235"/>
      <c r="I170" s="235"/>
      <c r="J170" s="7"/>
      <c r="K170" s="7"/>
      <c r="L170" s="4"/>
    </row>
    <row r="171" spans="1: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6">
    <mergeCell ref="R41:S41"/>
    <mergeCell ref="F48:G48"/>
    <mergeCell ref="A1:K1"/>
    <mergeCell ref="M1:W1"/>
    <mergeCell ref="A5:J5"/>
    <mergeCell ref="R11:S11"/>
  </mergeCells>
  <phoneticPr fontId="35" type="noConversion"/>
  <printOptions horizontalCentered="1"/>
  <pageMargins left="0" right="0" top="0.59055118110236227" bottom="0.19685039370078741" header="0.31496062992125984" footer="0.31496062992125984"/>
  <pageSetup paperSize="9" scale="50" orientation="landscape" r:id="rId1"/>
  <headerFooter alignWithMargins="0">
    <oddHeader>Página &amp;P de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topLeftCell="A31" workbookViewId="0">
      <selection activeCell="A53" sqref="A53:D55"/>
    </sheetView>
  </sheetViews>
  <sheetFormatPr defaultRowHeight="10.5"/>
  <cols>
    <col min="1" max="16384" width="9" style="294"/>
  </cols>
  <sheetData>
    <row r="1" spans="1:9" ht="12.75">
      <c r="A1" s="290" t="s">
        <v>222</v>
      </c>
      <c r="B1" s="291"/>
      <c r="C1" s="291"/>
      <c r="D1" s="292"/>
      <c r="E1" s="292"/>
      <c r="F1" s="292"/>
      <c r="G1" s="292"/>
      <c r="H1" s="292"/>
      <c r="I1" s="293"/>
    </row>
    <row r="2" spans="1:9" ht="11.25">
      <c r="A2" s="295"/>
      <c r="B2" s="296" t="s">
        <v>223</v>
      </c>
      <c r="C2" s="297"/>
      <c r="D2" s="297"/>
      <c r="E2" s="297"/>
      <c r="F2" s="297"/>
      <c r="G2" s="297"/>
      <c r="H2" s="297"/>
      <c r="I2" s="298"/>
    </row>
    <row r="3" spans="1:9" ht="11.25">
      <c r="A3" s="299" t="s">
        <v>38</v>
      </c>
      <c r="B3" s="300"/>
      <c r="C3" s="301"/>
      <c r="D3" s="302"/>
      <c r="E3" s="303" t="s">
        <v>96</v>
      </c>
      <c r="F3" s="301"/>
      <c r="G3" s="301"/>
      <c r="H3" s="301"/>
      <c r="I3" s="304" t="s">
        <v>224</v>
      </c>
    </row>
    <row r="4" spans="1:9" ht="11.25">
      <c r="A4" s="305"/>
      <c r="B4" s="305"/>
      <c r="C4" s="305"/>
      <c r="D4" s="305"/>
      <c r="E4" s="305"/>
      <c r="F4" s="305"/>
      <c r="G4" s="305"/>
      <c r="H4" s="305"/>
      <c r="I4" s="305"/>
    </row>
    <row r="5" spans="1:9" ht="11.25">
      <c r="A5" s="306"/>
      <c r="B5" s="307" t="s">
        <v>225</v>
      </c>
      <c r="C5" s="308"/>
      <c r="D5" s="308"/>
      <c r="E5" s="308"/>
      <c r="F5" s="308"/>
      <c r="G5" s="308"/>
      <c r="H5" s="308"/>
      <c r="I5" s="309"/>
    </row>
    <row r="6" spans="1:9" ht="11.25">
      <c r="A6" s="310" t="s">
        <v>226</v>
      </c>
      <c r="B6" s="311" t="s">
        <v>227</v>
      </c>
      <c r="C6" s="312"/>
      <c r="D6" s="312"/>
      <c r="E6" s="312"/>
      <c r="F6" s="312"/>
      <c r="G6" s="312"/>
      <c r="H6" s="312"/>
      <c r="I6" s="313"/>
    </row>
    <row r="7" spans="1:9" ht="11.25">
      <c r="A7" s="310" t="s">
        <v>228</v>
      </c>
      <c r="B7" s="314" t="s">
        <v>229</v>
      </c>
      <c r="C7" s="315"/>
      <c r="D7" s="312"/>
      <c r="E7" s="312"/>
      <c r="F7" s="312"/>
      <c r="G7" s="312"/>
      <c r="H7" s="312"/>
      <c r="I7" s="313"/>
    </row>
    <row r="8" spans="1:9" ht="11.25">
      <c r="A8" s="310" t="s">
        <v>230</v>
      </c>
      <c r="B8" s="314" t="s">
        <v>231</v>
      </c>
      <c r="C8" s="315"/>
      <c r="D8" s="312"/>
      <c r="E8" s="312"/>
      <c r="F8" s="312"/>
      <c r="G8" s="312"/>
      <c r="H8" s="312"/>
      <c r="I8" s="313"/>
    </row>
    <row r="9" spans="1:9" ht="11.25">
      <c r="A9" s="310" t="s">
        <v>232</v>
      </c>
      <c r="B9" s="314" t="s">
        <v>233</v>
      </c>
      <c r="C9" s="315"/>
      <c r="D9" s="312"/>
      <c r="E9" s="312"/>
      <c r="F9" s="312"/>
      <c r="G9" s="312"/>
      <c r="H9" s="312"/>
      <c r="I9" s="313"/>
    </row>
    <row r="10" spans="1:9" ht="11.25">
      <c r="A10" s="310" t="s">
        <v>234</v>
      </c>
      <c r="B10" s="314" t="s">
        <v>235</v>
      </c>
      <c r="C10" s="315"/>
      <c r="D10" s="312"/>
      <c r="E10" s="312"/>
      <c r="F10" s="312"/>
      <c r="G10" s="312"/>
      <c r="H10" s="312"/>
      <c r="I10" s="313"/>
    </row>
    <row r="11" spans="1:9" ht="11.25">
      <c r="A11" s="310" t="s">
        <v>236</v>
      </c>
      <c r="B11" s="314" t="s">
        <v>237</v>
      </c>
      <c r="C11" s="315"/>
      <c r="D11" s="312"/>
      <c r="E11" s="312"/>
      <c r="F11" s="312"/>
      <c r="G11" s="312"/>
      <c r="H11" s="312"/>
      <c r="I11" s="313"/>
    </row>
    <row r="12" spans="1:9" ht="11.25">
      <c r="A12" s="310" t="s">
        <v>238</v>
      </c>
      <c r="B12" s="314" t="s">
        <v>239</v>
      </c>
      <c r="C12" s="315"/>
      <c r="D12" s="312"/>
      <c r="E12" s="312"/>
      <c r="F12" s="312"/>
      <c r="G12" s="312"/>
      <c r="H12" s="312"/>
      <c r="I12" s="313"/>
    </row>
    <row r="13" spans="1:9" ht="11.25">
      <c r="A13" s="310" t="s">
        <v>240</v>
      </c>
      <c r="B13" s="314" t="s">
        <v>241</v>
      </c>
      <c r="C13" s="315"/>
      <c r="D13" s="312"/>
      <c r="E13" s="312"/>
      <c r="F13" s="312"/>
      <c r="G13" s="312"/>
      <c r="H13" s="312"/>
      <c r="I13" s="313"/>
    </row>
    <row r="14" spans="1:9" ht="11.25">
      <c r="A14" s="310" t="s">
        <v>242</v>
      </c>
      <c r="B14" s="316" t="s">
        <v>243</v>
      </c>
      <c r="C14" s="315"/>
      <c r="D14" s="312"/>
      <c r="E14" s="312"/>
      <c r="F14" s="312"/>
      <c r="G14" s="312"/>
      <c r="H14" s="312"/>
      <c r="I14" s="317"/>
    </row>
    <row r="15" spans="1:9" ht="11.25">
      <c r="A15" s="318"/>
      <c r="B15" s="306" t="s">
        <v>244</v>
      </c>
      <c r="C15" s="308"/>
      <c r="D15" s="308"/>
      <c r="E15" s="308"/>
      <c r="F15" s="308"/>
      <c r="G15" s="308"/>
      <c r="H15" s="308"/>
      <c r="I15" s="319">
        <f>SUM(I6:I14)</f>
        <v>0</v>
      </c>
    </row>
    <row r="16" spans="1:9" ht="11.25">
      <c r="A16" s="305"/>
      <c r="B16" s="305"/>
      <c r="C16" s="320"/>
      <c r="D16" s="320"/>
      <c r="E16" s="305"/>
      <c r="F16" s="305"/>
      <c r="G16" s="321"/>
      <c r="H16" s="321"/>
      <c r="I16" s="322"/>
    </row>
    <row r="17" spans="1:9" ht="11.25">
      <c r="A17" s="323"/>
      <c r="B17" s="324" t="s">
        <v>245</v>
      </c>
      <c r="C17" s="325"/>
      <c r="D17" s="325"/>
      <c r="E17" s="325"/>
      <c r="F17" s="325"/>
      <c r="G17" s="325"/>
      <c r="H17" s="325"/>
      <c r="I17" s="326"/>
    </row>
    <row r="18" spans="1:9" ht="11.25">
      <c r="A18" s="327" t="s">
        <v>246</v>
      </c>
      <c r="B18" s="314" t="s">
        <v>247</v>
      </c>
      <c r="C18" s="315"/>
      <c r="D18" s="312"/>
      <c r="E18" s="312"/>
      <c r="F18" s="312"/>
      <c r="G18" s="312"/>
      <c r="H18" s="312"/>
      <c r="I18" s="317"/>
    </row>
    <row r="19" spans="1:9" ht="11.25">
      <c r="A19" s="327" t="s">
        <v>248</v>
      </c>
      <c r="B19" s="328" t="s">
        <v>249</v>
      </c>
      <c r="C19" s="315"/>
      <c r="D19" s="312"/>
      <c r="E19" s="312"/>
      <c r="F19" s="312"/>
      <c r="G19" s="312"/>
      <c r="H19" s="312"/>
      <c r="I19" s="317"/>
    </row>
    <row r="20" spans="1:9" ht="11.25">
      <c r="A20" s="327" t="s">
        <v>250</v>
      </c>
      <c r="B20" s="314" t="s">
        <v>251</v>
      </c>
      <c r="C20" s="315"/>
      <c r="D20" s="312"/>
      <c r="E20" s="312"/>
      <c r="F20" s="312"/>
      <c r="G20" s="312"/>
      <c r="H20" s="312"/>
      <c r="I20" s="317"/>
    </row>
    <row r="21" spans="1:9" ht="11.25">
      <c r="A21" s="327" t="s">
        <v>252</v>
      </c>
      <c r="B21" s="314" t="s">
        <v>253</v>
      </c>
      <c r="C21" s="315"/>
      <c r="D21" s="312"/>
      <c r="E21" s="312"/>
      <c r="F21" s="312"/>
      <c r="G21" s="312"/>
      <c r="H21" s="312"/>
      <c r="I21" s="317"/>
    </row>
    <row r="22" spans="1:9" ht="11.25">
      <c r="A22" s="327" t="s">
        <v>254</v>
      </c>
      <c r="B22" s="316" t="s">
        <v>255</v>
      </c>
      <c r="C22" s="315"/>
      <c r="D22" s="312"/>
      <c r="E22" s="312"/>
      <c r="F22" s="312"/>
      <c r="G22" s="312"/>
      <c r="H22" s="312"/>
      <c r="I22" s="317"/>
    </row>
    <row r="23" spans="1:9" ht="11.25">
      <c r="A23" s="327" t="s">
        <v>256</v>
      </c>
      <c r="B23" s="316" t="s">
        <v>257</v>
      </c>
      <c r="C23" s="315"/>
      <c r="D23" s="312"/>
      <c r="E23" s="312"/>
      <c r="F23" s="312"/>
      <c r="G23" s="312"/>
      <c r="H23" s="312"/>
      <c r="I23" s="317"/>
    </row>
    <row r="24" spans="1:9" ht="11.25">
      <c r="A24" s="327" t="s">
        <v>258</v>
      </c>
      <c r="B24" s="329" t="s">
        <v>259</v>
      </c>
      <c r="C24" s="315"/>
      <c r="D24" s="312"/>
      <c r="E24" s="312"/>
      <c r="F24" s="312"/>
      <c r="G24" s="312"/>
      <c r="H24" s="312"/>
      <c r="I24" s="317"/>
    </row>
    <row r="25" spans="1:9" ht="11.25">
      <c r="A25" s="318"/>
      <c r="B25" s="306" t="s">
        <v>260</v>
      </c>
      <c r="C25" s="308"/>
      <c r="D25" s="308"/>
      <c r="E25" s="308"/>
      <c r="F25" s="308"/>
      <c r="G25" s="308"/>
      <c r="H25" s="308"/>
      <c r="I25" s="319">
        <f>SUM(I18:I24)</f>
        <v>0</v>
      </c>
    </row>
    <row r="26" spans="1:9" ht="11.25">
      <c r="A26" s="315"/>
      <c r="B26" s="330"/>
      <c r="C26" s="331"/>
      <c r="D26" s="331"/>
      <c r="E26" s="330"/>
      <c r="F26" s="330"/>
      <c r="G26" s="332"/>
      <c r="H26" s="332"/>
      <c r="I26" s="332"/>
    </row>
    <row r="27" spans="1:9" ht="11.25">
      <c r="A27" s="318"/>
      <c r="B27" s="333" t="s">
        <v>261</v>
      </c>
      <c r="C27" s="308"/>
      <c r="D27" s="308"/>
      <c r="E27" s="308"/>
      <c r="F27" s="308"/>
      <c r="G27" s="308"/>
      <c r="H27" s="308"/>
      <c r="I27" s="309"/>
    </row>
    <row r="28" spans="1:9" ht="11.25">
      <c r="A28" s="310" t="s">
        <v>262</v>
      </c>
      <c r="B28" s="334" t="s">
        <v>263</v>
      </c>
      <c r="C28" s="312"/>
      <c r="D28" s="312"/>
      <c r="E28" s="312"/>
      <c r="F28" s="312"/>
      <c r="G28" s="312"/>
      <c r="H28" s="312"/>
      <c r="I28" s="313"/>
    </row>
    <row r="29" spans="1:9" ht="11.25">
      <c r="A29" s="310" t="s">
        <v>264</v>
      </c>
      <c r="B29" s="316" t="s">
        <v>265</v>
      </c>
      <c r="C29" s="315"/>
      <c r="D29" s="312"/>
      <c r="E29" s="312"/>
      <c r="F29" s="312"/>
      <c r="G29" s="312"/>
      <c r="H29" s="312"/>
      <c r="I29" s="317"/>
    </row>
    <row r="30" spans="1:9" ht="11.25">
      <c r="A30" s="310" t="s">
        <v>266</v>
      </c>
      <c r="B30" s="316" t="s">
        <v>267</v>
      </c>
      <c r="C30" s="315"/>
      <c r="D30" s="312"/>
      <c r="E30" s="312"/>
      <c r="F30" s="312"/>
      <c r="G30" s="312"/>
      <c r="H30" s="312"/>
      <c r="I30" s="317"/>
    </row>
    <row r="31" spans="1:9" ht="11.25">
      <c r="A31" s="310" t="s">
        <v>268</v>
      </c>
      <c r="B31" s="316" t="s">
        <v>269</v>
      </c>
      <c r="C31" s="315"/>
      <c r="D31" s="312"/>
      <c r="E31" s="312"/>
      <c r="F31" s="312"/>
      <c r="G31" s="312"/>
      <c r="H31" s="312"/>
      <c r="I31" s="317"/>
    </row>
    <row r="32" spans="1:9" ht="11.25">
      <c r="A32" s="316"/>
      <c r="B32" s="329"/>
      <c r="C32" s="315"/>
      <c r="D32" s="312"/>
      <c r="E32" s="312"/>
      <c r="F32" s="312"/>
      <c r="G32" s="312"/>
      <c r="H32" s="312"/>
      <c r="I32" s="317"/>
    </row>
    <row r="33" spans="1:11" ht="11.25">
      <c r="A33" s="318"/>
      <c r="B33" s="306" t="s">
        <v>270</v>
      </c>
      <c r="C33" s="308"/>
      <c r="D33" s="308"/>
      <c r="E33" s="308"/>
      <c r="F33" s="308"/>
      <c r="G33" s="308"/>
      <c r="H33" s="308"/>
      <c r="I33" s="319">
        <f>SUM(I28:I32)</f>
        <v>0</v>
      </c>
    </row>
    <row r="34" spans="1:11" ht="11.25">
      <c r="A34" s="318"/>
      <c r="B34" s="307" t="s">
        <v>271</v>
      </c>
      <c r="C34" s="308"/>
      <c r="D34" s="308"/>
      <c r="E34" s="308"/>
      <c r="F34" s="308"/>
      <c r="G34" s="308"/>
      <c r="H34" s="308"/>
      <c r="I34" s="309"/>
    </row>
    <row r="35" spans="1:11" ht="11.25">
      <c r="A35" s="310" t="s">
        <v>272</v>
      </c>
      <c r="B35" s="334" t="s">
        <v>273</v>
      </c>
      <c r="C35" s="312"/>
      <c r="D35" s="312"/>
      <c r="E35" s="312"/>
      <c r="F35" s="312"/>
      <c r="G35" s="312"/>
      <c r="H35" s="312"/>
      <c r="I35" s="317"/>
    </row>
    <row r="36" spans="1:11" ht="11.25">
      <c r="A36" s="316"/>
      <c r="B36" s="316"/>
      <c r="C36" s="315"/>
      <c r="D36" s="312"/>
      <c r="E36" s="312"/>
      <c r="F36" s="312"/>
      <c r="G36" s="312"/>
      <c r="H36" s="312"/>
      <c r="I36" s="317"/>
    </row>
    <row r="37" spans="1:11" ht="11.25">
      <c r="A37" s="316"/>
      <c r="B37" s="316"/>
      <c r="C37" s="315"/>
      <c r="D37" s="312"/>
      <c r="E37" s="312"/>
      <c r="F37" s="312"/>
      <c r="G37" s="312"/>
      <c r="H37" s="312"/>
      <c r="I37" s="317"/>
    </row>
    <row r="38" spans="1:11" ht="11.25">
      <c r="A38" s="316"/>
      <c r="B38" s="329"/>
      <c r="C38" s="315"/>
      <c r="D38" s="312"/>
      <c r="E38" s="312"/>
      <c r="F38" s="312"/>
      <c r="G38" s="312"/>
      <c r="H38" s="312"/>
      <c r="I38" s="317"/>
    </row>
    <row r="39" spans="1:11" ht="11.25">
      <c r="A39" s="318"/>
      <c r="B39" s="306" t="s">
        <v>274</v>
      </c>
      <c r="C39" s="308"/>
      <c r="D39" s="308"/>
      <c r="E39" s="308"/>
      <c r="F39" s="308"/>
      <c r="G39" s="308"/>
      <c r="H39" s="308"/>
      <c r="I39" s="319">
        <f>SUM(I35:I38)</f>
        <v>0</v>
      </c>
    </row>
    <row r="40" spans="1:11" ht="11.25">
      <c r="A40" s="318"/>
      <c r="B40" s="671" t="s">
        <v>275</v>
      </c>
      <c r="C40" s="671"/>
      <c r="D40" s="671"/>
      <c r="E40" s="671"/>
      <c r="F40" s="671"/>
      <c r="G40" s="671"/>
      <c r="H40" s="671"/>
      <c r="I40" s="309"/>
    </row>
    <row r="41" spans="1:11" ht="11.25">
      <c r="A41" s="310" t="s">
        <v>276</v>
      </c>
      <c r="B41" s="335" t="s">
        <v>277</v>
      </c>
      <c r="C41" s="312"/>
      <c r="D41" s="312"/>
      <c r="E41" s="312"/>
      <c r="F41" s="312"/>
      <c r="G41" s="312"/>
      <c r="H41" s="312"/>
      <c r="I41" s="317">
        <f>I15*I25</f>
        <v>0</v>
      </c>
    </row>
    <row r="42" spans="1:11" ht="11.25">
      <c r="A42" s="316"/>
      <c r="B42" s="316"/>
      <c r="C42" s="315"/>
      <c r="D42" s="312"/>
      <c r="E42" s="312"/>
      <c r="F42" s="312"/>
      <c r="G42" s="312"/>
      <c r="H42" s="312"/>
      <c r="I42" s="317"/>
    </row>
    <row r="43" spans="1:11" ht="11.25">
      <c r="A43" s="318"/>
      <c r="B43" s="306" t="s">
        <v>278</v>
      </c>
      <c r="C43" s="308"/>
      <c r="D43" s="308"/>
      <c r="E43" s="308"/>
      <c r="F43" s="308"/>
      <c r="G43" s="308"/>
      <c r="H43" s="308"/>
      <c r="I43" s="319">
        <f>SUM(I41:I42)</f>
        <v>0</v>
      </c>
      <c r="K43" s="336"/>
    </row>
    <row r="44" spans="1:11" ht="11.25">
      <c r="A44" s="330"/>
      <c r="B44" s="330"/>
      <c r="C44" s="331"/>
      <c r="D44" s="331"/>
      <c r="E44" s="330"/>
      <c r="F44" s="330"/>
      <c r="G44" s="332"/>
      <c r="H44" s="332"/>
      <c r="I44" s="332"/>
    </row>
    <row r="45" spans="1:11" ht="11.25">
      <c r="A45" s="337"/>
      <c r="B45" s="338"/>
      <c r="C45" s="338"/>
      <c r="D45" s="338"/>
      <c r="E45" s="338"/>
      <c r="F45" s="338"/>
      <c r="G45" s="338"/>
      <c r="H45" s="338"/>
      <c r="I45" s="339"/>
    </row>
    <row r="46" spans="1:11" ht="11.25">
      <c r="A46" s="295"/>
      <c r="B46" s="296" t="s">
        <v>279</v>
      </c>
      <c r="C46" s="297"/>
      <c r="D46" s="297"/>
      <c r="E46" s="297"/>
      <c r="F46" s="297"/>
      <c r="G46" s="297"/>
      <c r="H46" s="297"/>
      <c r="I46" s="340">
        <v>0.8226</v>
      </c>
    </row>
    <row r="47" spans="1:11" ht="11.25">
      <c r="A47" s="329"/>
      <c r="B47" s="330"/>
      <c r="C47" s="330"/>
      <c r="D47" s="341"/>
      <c r="E47" s="341"/>
      <c r="F47" s="341"/>
      <c r="G47" s="341"/>
      <c r="H47" s="341"/>
      <c r="I47" s="342"/>
    </row>
    <row r="50" spans="1:4">
      <c r="A50" s="294" t="str">
        <f>'Ônibus Equipe Capina'!A71</f>
        <v>Patos de Minas-MG, 01 de novembro de 2016</v>
      </c>
    </row>
    <row r="53" spans="1:4" ht="12.75" thickBot="1">
      <c r="A53" s="694"/>
      <c r="B53" s="694"/>
      <c r="C53" s="694"/>
      <c r="D53" s="694"/>
    </row>
    <row r="54" spans="1:4" ht="12.75" thickTop="1">
      <c r="A54" s="1" t="s">
        <v>346</v>
      </c>
      <c r="B54" s="1"/>
      <c r="C54" s="1"/>
      <c r="D54" s="1"/>
    </row>
    <row r="55" spans="1:4" ht="12">
      <c r="A55" s="1" t="s">
        <v>347</v>
      </c>
      <c r="B55" s="1"/>
      <c r="C55" s="1"/>
      <c r="D55" s="1"/>
    </row>
  </sheetData>
  <mergeCells count="1">
    <mergeCell ref="B40:H40"/>
  </mergeCells>
  <phoneticPr fontId="35" type="noConversion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>
      <selection activeCell="G28" sqref="G28"/>
    </sheetView>
  </sheetViews>
  <sheetFormatPr defaultColWidth="11" defaultRowHeight="12"/>
  <cols>
    <col min="1" max="1" width="72.625" style="1" customWidth="1"/>
    <col min="2" max="2" width="9.625" style="1" customWidth="1"/>
    <col min="3" max="4" width="15.625" style="1" customWidth="1"/>
    <col min="5" max="5" width="16.625" style="1" customWidth="1"/>
    <col min="6" max="6" width="6.625" style="1" customWidth="1"/>
    <col min="7" max="7" width="25.75" style="1" customWidth="1"/>
    <col min="8" max="8" width="11" style="1" customWidth="1"/>
    <col min="9" max="10" width="18.125" style="1" bestFit="1" customWidth="1"/>
    <col min="11" max="11" width="20.375" style="1" customWidth="1"/>
    <col min="12" max="16384" width="11" style="1"/>
  </cols>
  <sheetData>
    <row r="1" spans="1:11" ht="22.5" customHeight="1" thickBot="1">
      <c r="A1" s="681" t="s">
        <v>341</v>
      </c>
      <c r="B1" s="682"/>
      <c r="C1" s="682"/>
      <c r="D1" s="682"/>
      <c r="E1" s="682"/>
      <c r="F1" s="682"/>
      <c r="G1" s="683"/>
    </row>
    <row r="2" spans="1:11" ht="12.75">
      <c r="A2" s="18"/>
      <c r="B2" s="22"/>
      <c r="C2" s="141"/>
      <c r="D2" s="18"/>
      <c r="E2" s="22"/>
      <c r="F2" s="22"/>
      <c r="G2" s="18"/>
    </row>
    <row r="3" spans="1:11" ht="12.75">
      <c r="A3" s="12" t="s">
        <v>0</v>
      </c>
      <c r="B3" s="12" t="s">
        <v>6</v>
      </c>
      <c r="C3" s="82" t="s">
        <v>2</v>
      </c>
      <c r="D3" s="12" t="s">
        <v>215</v>
      </c>
      <c r="E3" s="21" t="s">
        <v>3</v>
      </c>
      <c r="F3" s="21" t="s">
        <v>342</v>
      </c>
      <c r="G3" s="12" t="s">
        <v>4</v>
      </c>
    </row>
    <row r="4" spans="1:11" ht="22.5">
      <c r="A4" s="690" t="s">
        <v>338</v>
      </c>
      <c r="B4" s="691"/>
      <c r="C4" s="691"/>
      <c r="D4" s="691"/>
      <c r="E4" s="691"/>
      <c r="F4" s="691"/>
      <c r="G4" s="692"/>
    </row>
    <row r="5" spans="1:11" ht="15.75">
      <c r="A5" s="684" t="s">
        <v>335</v>
      </c>
      <c r="B5" s="685"/>
      <c r="C5" s="686"/>
      <c r="D5" s="686"/>
      <c r="E5" s="686"/>
      <c r="F5" s="686"/>
      <c r="G5" s="677"/>
    </row>
    <row r="6" spans="1:11" ht="12.75">
      <c r="A6" s="379" t="s">
        <v>18</v>
      </c>
      <c r="B6" s="374"/>
      <c r="C6" s="369"/>
      <c r="D6" s="369"/>
      <c r="E6" s="372"/>
      <c r="F6" s="372"/>
      <c r="G6" s="371"/>
    </row>
    <row r="7" spans="1:11" ht="12.75">
      <c r="A7" s="376" t="s">
        <v>1</v>
      </c>
      <c r="B7" s="372">
        <v>1</v>
      </c>
      <c r="C7" s="368">
        <f>'Caminhão Basculante Varrição'!V60</f>
        <v>10315.459999999999</v>
      </c>
      <c r="D7" s="368">
        <f>'Insumos Varrição'!J51</f>
        <v>45654.77</v>
      </c>
      <c r="E7" s="371">
        <f>'Equipe Varrição'!J58</f>
        <v>415189.88</v>
      </c>
      <c r="F7" s="35">
        <v>3</v>
      </c>
      <c r="G7" s="371">
        <f>(C7+E7+D7)*F7</f>
        <v>1413480.33</v>
      </c>
    </row>
    <row r="8" spans="1:11" ht="12.75">
      <c r="A8" s="376" t="s">
        <v>15</v>
      </c>
      <c r="B8" s="372"/>
      <c r="C8" s="368"/>
      <c r="D8" s="368"/>
      <c r="E8" s="371"/>
      <c r="F8" s="371"/>
      <c r="G8" s="371"/>
    </row>
    <row r="9" spans="1:11" ht="12.75">
      <c r="A9" s="376" t="s">
        <v>5</v>
      </c>
      <c r="B9" s="375"/>
      <c r="C9" s="369"/>
      <c r="D9" s="369"/>
      <c r="E9" s="372"/>
      <c r="F9" s="372"/>
      <c r="G9" s="371"/>
    </row>
    <row r="10" spans="1:11" ht="18.75">
      <c r="A10" s="672" t="s">
        <v>12</v>
      </c>
      <c r="B10" s="673"/>
      <c r="C10" s="673"/>
      <c r="D10" s="673"/>
      <c r="E10" s="673"/>
      <c r="F10" s="674"/>
      <c r="G10" s="25">
        <f>SUM(G6:G9)</f>
        <v>1413480.33</v>
      </c>
    </row>
    <row r="11" spans="1:11" ht="15.75">
      <c r="A11" s="675" t="s">
        <v>336</v>
      </c>
      <c r="B11" s="676"/>
      <c r="C11" s="676"/>
      <c r="D11" s="676"/>
      <c r="E11" s="676"/>
      <c r="F11" s="676"/>
      <c r="G11" s="677"/>
    </row>
    <row r="12" spans="1:11" ht="15.75">
      <c r="A12" s="24" t="s">
        <v>0</v>
      </c>
      <c r="B12" s="24" t="s">
        <v>320</v>
      </c>
      <c r="C12" s="24" t="s">
        <v>325</v>
      </c>
      <c r="D12" s="24" t="s">
        <v>215</v>
      </c>
      <c r="E12" s="24" t="s">
        <v>3</v>
      </c>
      <c r="F12" s="24" t="s">
        <v>342</v>
      </c>
      <c r="G12" s="32" t="s">
        <v>8</v>
      </c>
    </row>
    <row r="13" spans="1:11" ht="12.75">
      <c r="A13" s="379" t="s">
        <v>321</v>
      </c>
      <c r="B13" s="31"/>
      <c r="C13" s="380"/>
      <c r="D13" s="380"/>
      <c r="E13" s="380"/>
      <c r="F13" s="380"/>
      <c r="G13" s="639"/>
      <c r="H13" s="33"/>
    </row>
    <row r="14" spans="1:11" ht="12.75">
      <c r="A14" s="376" t="s">
        <v>9</v>
      </c>
      <c r="B14" s="17">
        <v>4</v>
      </c>
      <c r="C14" s="377">
        <f>'Ônibus Equipe Capina'!V63*1</f>
        <v>6624.1</v>
      </c>
      <c r="D14" s="377">
        <f>'Insumos - Equipe Capina'!J45</f>
        <v>1417.84</v>
      </c>
      <c r="E14" s="377">
        <f>'Equipe Capina'!J55</f>
        <v>43779.76</v>
      </c>
      <c r="F14" s="36">
        <v>3</v>
      </c>
      <c r="G14" s="640"/>
      <c r="I14" s="29"/>
      <c r="K14" s="29"/>
    </row>
    <row r="15" spans="1:11" ht="15.75">
      <c r="A15" s="376" t="s">
        <v>324</v>
      </c>
      <c r="B15" s="17"/>
      <c r="C15" s="364" t="s">
        <v>326</v>
      </c>
      <c r="D15" s="364" t="s">
        <v>327</v>
      </c>
      <c r="E15" s="364" t="s">
        <v>327</v>
      </c>
      <c r="F15" s="365"/>
      <c r="G15" s="641"/>
      <c r="K15" s="29"/>
    </row>
    <row r="16" spans="1:11" ht="12.75">
      <c r="A16" s="687" t="s">
        <v>10</v>
      </c>
      <c r="B16" s="688"/>
      <c r="C16" s="688"/>
      <c r="D16" s="688"/>
      <c r="E16" s="688"/>
      <c r="F16" s="689"/>
      <c r="G16" s="363"/>
    </row>
    <row r="17" spans="1:11" ht="15.75">
      <c r="A17" s="26" t="s">
        <v>0</v>
      </c>
      <c r="B17" s="366" t="s">
        <v>6</v>
      </c>
      <c r="C17" s="26" t="s">
        <v>325</v>
      </c>
      <c r="D17" s="26" t="s">
        <v>215</v>
      </c>
      <c r="E17" s="26" t="s">
        <v>3</v>
      </c>
      <c r="F17" s="24" t="s">
        <v>342</v>
      </c>
      <c r="G17" s="27"/>
    </row>
    <row r="18" spans="1:11" ht="19.5" customHeight="1">
      <c r="A18" s="381" t="s">
        <v>19</v>
      </c>
      <c r="B18" s="373">
        <f>'Equipe Capina'!E58*4</f>
        <v>768000</v>
      </c>
      <c r="C18" s="382">
        <f>C14/192000</f>
        <v>0.03</v>
      </c>
      <c r="D18" s="382">
        <f>(D14*4)/768000</f>
        <v>0.01</v>
      </c>
      <c r="E18" s="383">
        <f>(E14*4)/768000</f>
        <v>0.23</v>
      </c>
      <c r="F18" s="37">
        <v>3</v>
      </c>
      <c r="G18" s="384">
        <f>(B18*D18*F18)+(B18*E18*F18)+(192000*C18*F18)</f>
        <v>570240</v>
      </c>
      <c r="I18" s="130"/>
      <c r="K18" s="29"/>
    </row>
    <row r="19" spans="1:11" ht="19.5" customHeight="1">
      <c r="A19" s="385"/>
      <c r="B19" s="618"/>
      <c r="C19" s="364" t="s">
        <v>329</v>
      </c>
      <c r="D19" s="364" t="s">
        <v>330</v>
      </c>
      <c r="E19" s="364" t="s">
        <v>330</v>
      </c>
      <c r="F19" s="36"/>
      <c r="G19" s="378"/>
      <c r="I19" s="130"/>
      <c r="K19" s="29"/>
    </row>
    <row r="20" spans="1:11" ht="18.75">
      <c r="A20" s="672" t="s">
        <v>13</v>
      </c>
      <c r="B20" s="673"/>
      <c r="C20" s="673"/>
      <c r="D20" s="673"/>
      <c r="E20" s="673"/>
      <c r="F20" s="674"/>
      <c r="G20" s="25">
        <f>G18</f>
        <v>570240</v>
      </c>
    </row>
    <row r="21" spans="1:11" ht="15.75">
      <c r="A21" s="675" t="s">
        <v>337</v>
      </c>
      <c r="B21" s="676"/>
      <c r="C21" s="676"/>
      <c r="D21" s="676"/>
      <c r="E21" s="676"/>
      <c r="F21" s="676"/>
      <c r="G21" s="677"/>
      <c r="I21" s="29"/>
    </row>
    <row r="22" spans="1:11" ht="15.75">
      <c r="A22" s="12" t="s">
        <v>0</v>
      </c>
      <c r="B22" s="24" t="s">
        <v>6</v>
      </c>
      <c r="C22" s="21" t="s">
        <v>2</v>
      </c>
      <c r="D22" s="24" t="s">
        <v>215</v>
      </c>
      <c r="E22" s="21" t="s">
        <v>3</v>
      </c>
      <c r="F22" s="24" t="s">
        <v>342</v>
      </c>
      <c r="G22" s="23" t="s">
        <v>8</v>
      </c>
    </row>
    <row r="23" spans="1:11" ht="12.75">
      <c r="A23" s="370" t="s">
        <v>16</v>
      </c>
      <c r="B23" s="386"/>
      <c r="C23" s="370"/>
      <c r="D23" s="367"/>
      <c r="E23" s="367"/>
      <c r="F23" s="367"/>
      <c r="G23" s="387"/>
    </row>
    <row r="24" spans="1:11" ht="12.75">
      <c r="A24" s="372" t="s">
        <v>11</v>
      </c>
      <c r="B24" s="388">
        <v>1</v>
      </c>
      <c r="C24" s="389">
        <f>'Caminhão Equipe Multi-Uso'!V59</f>
        <v>5896.89</v>
      </c>
      <c r="D24" s="390">
        <f>'Insumos - Equipe Multi Uso'!J47</f>
        <v>2359.9299999999998</v>
      </c>
      <c r="E24" s="391">
        <f>'Equipe Multi Uso'!J52</f>
        <v>37070.18</v>
      </c>
      <c r="F24" s="35">
        <v>3</v>
      </c>
      <c r="G24" s="368">
        <f>(C24+E24)*F24</f>
        <v>128901.21</v>
      </c>
    </row>
    <row r="25" spans="1:11" ht="12.75">
      <c r="A25" s="372" t="s">
        <v>7</v>
      </c>
      <c r="B25" s="388"/>
      <c r="C25" s="392"/>
      <c r="D25" s="393"/>
      <c r="E25" s="394"/>
      <c r="F25" s="394"/>
      <c r="G25" s="368"/>
    </row>
    <row r="26" spans="1:11" ht="12.75">
      <c r="A26" s="395" t="s">
        <v>17</v>
      </c>
      <c r="B26" s="396"/>
      <c r="C26" s="372"/>
      <c r="D26" s="369"/>
      <c r="E26" s="369"/>
      <c r="F26" s="369"/>
      <c r="G26" s="397"/>
    </row>
    <row r="27" spans="1:11" ht="18.75">
      <c r="A27" s="672" t="s">
        <v>14</v>
      </c>
      <c r="B27" s="673"/>
      <c r="C27" s="673"/>
      <c r="D27" s="673"/>
      <c r="E27" s="673"/>
      <c r="F27" s="674"/>
      <c r="G27" s="25">
        <f>SUM(G23:G26)</f>
        <v>128901.21</v>
      </c>
    </row>
    <row r="28" spans="1:11" ht="22.5">
      <c r="A28" s="678" t="s">
        <v>339</v>
      </c>
      <c r="B28" s="679"/>
      <c r="C28" s="679"/>
      <c r="D28" s="679"/>
      <c r="E28" s="679"/>
      <c r="F28" s="680"/>
      <c r="G28" s="344">
        <f>G10+G20+G27</f>
        <v>2112621.54</v>
      </c>
    </row>
    <row r="29" spans="1:11" ht="17.25" customHeight="1">
      <c r="A29" s="30"/>
    </row>
    <row r="30" spans="1:11" ht="17.25" customHeight="1">
      <c r="A30" s="30" t="s">
        <v>340</v>
      </c>
      <c r="B30" s="11"/>
      <c r="C30" s="11"/>
      <c r="D30" s="11"/>
      <c r="E30" s="11"/>
      <c r="F30" s="11"/>
    </row>
    <row r="31" spans="1:11" ht="12.75">
      <c r="B31" s="2"/>
      <c r="C31" s="2"/>
      <c r="D31" s="2"/>
      <c r="E31" s="2"/>
      <c r="F31" s="2"/>
      <c r="G31" s="2"/>
    </row>
    <row r="32" spans="1:11" ht="15.75">
      <c r="A32" s="30" t="str">
        <f>'Ônibus Equipe Capina'!A71</f>
        <v>Patos de Minas-MG, 01 de novembro de 2016</v>
      </c>
      <c r="B32" s="13"/>
      <c r="C32" s="13"/>
      <c r="D32" s="13"/>
      <c r="E32" s="13"/>
      <c r="F32" s="13"/>
      <c r="G32" s="28"/>
    </row>
    <row r="33" spans="1:7" ht="12.75">
      <c r="A33" s="13"/>
      <c r="B33" s="13"/>
      <c r="C33" s="13"/>
      <c r="D33" s="13"/>
      <c r="E33" s="13"/>
      <c r="F33" s="13"/>
      <c r="G33" s="2"/>
    </row>
    <row r="34" spans="1:7" ht="12.75">
      <c r="A34" s="2"/>
      <c r="B34" s="2"/>
      <c r="C34" s="2"/>
      <c r="D34" s="2"/>
      <c r="E34" s="2"/>
      <c r="F34" s="2"/>
      <c r="G34" s="34"/>
    </row>
    <row r="35" spans="1:7" ht="12.75">
      <c r="A35" s="2"/>
      <c r="B35" s="2"/>
      <c r="C35" s="2"/>
      <c r="D35" s="2"/>
      <c r="E35" s="2"/>
      <c r="F35" s="2"/>
      <c r="G35" s="5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5"/>
    </row>
    <row r="39" spans="1:7" ht="12.75">
      <c r="A39" s="2"/>
      <c r="B39" s="2"/>
      <c r="C39" s="2"/>
      <c r="D39" s="2"/>
      <c r="E39" s="2"/>
      <c r="F39" s="2"/>
      <c r="G39" s="2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6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7"/>
      <c r="B44" s="7"/>
      <c r="C44" s="7"/>
      <c r="D44" s="7"/>
      <c r="E44" s="7"/>
      <c r="F44" s="7"/>
      <c r="G44" s="7"/>
    </row>
    <row r="45" spans="1:7">
      <c r="A45" s="4"/>
      <c r="B45" s="4"/>
      <c r="C45" s="4"/>
      <c r="D45" s="4"/>
      <c r="E45" s="4"/>
      <c r="F45" s="4"/>
      <c r="G45" s="4"/>
    </row>
    <row r="46" spans="1:7">
      <c r="A46" s="7"/>
      <c r="B46" s="7"/>
      <c r="C46" s="7"/>
      <c r="D46" s="7"/>
      <c r="E46" s="7"/>
      <c r="F46" s="7"/>
      <c r="G46" s="7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8"/>
      <c r="B49" s="8"/>
      <c r="C49" s="8"/>
      <c r="D49" s="8"/>
      <c r="E49" s="8"/>
      <c r="F49" s="8"/>
      <c r="G49" s="9"/>
    </row>
    <row r="50" spans="1:7">
      <c r="A50" s="8"/>
      <c r="B50" s="8"/>
      <c r="C50" s="8"/>
      <c r="D50" s="8"/>
      <c r="E50" s="8"/>
      <c r="F50" s="8"/>
      <c r="G50" s="8"/>
    </row>
    <row r="51" spans="1:7">
      <c r="A51" s="8"/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9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3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3"/>
    </row>
    <row r="59" spans="1:7">
      <c r="A59" s="8"/>
      <c r="B59" s="8"/>
      <c r="C59" s="8"/>
      <c r="D59" s="8"/>
      <c r="E59" s="8"/>
      <c r="F59" s="8"/>
      <c r="G59" s="8"/>
    </row>
    <row r="60" spans="1:7">
      <c r="A60" s="10"/>
      <c r="B60" s="10"/>
      <c r="C60" s="10"/>
      <c r="D60" s="10"/>
      <c r="E60" s="10"/>
      <c r="F60" s="10"/>
      <c r="G60" s="10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9"/>
    </row>
    <row r="63" spans="1:7">
      <c r="A63" s="8"/>
      <c r="B63" s="8"/>
      <c r="C63" s="8"/>
      <c r="D63" s="8"/>
      <c r="E63" s="8"/>
      <c r="F63" s="8"/>
      <c r="G63" s="8"/>
    </row>
    <row r="64" spans="1:7">
      <c r="A64" s="10"/>
      <c r="B64" s="10"/>
      <c r="C64" s="10"/>
      <c r="D64" s="10"/>
      <c r="E64" s="10"/>
      <c r="F64" s="10"/>
      <c r="G64" s="10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</sheetData>
  <sheetProtection password="E12D" sheet="1"/>
  <mergeCells count="10">
    <mergeCell ref="A20:F20"/>
    <mergeCell ref="A21:G21"/>
    <mergeCell ref="A27:F27"/>
    <mergeCell ref="A28:F28"/>
    <mergeCell ref="A1:G1"/>
    <mergeCell ref="A5:G5"/>
    <mergeCell ref="A10:F10"/>
    <mergeCell ref="A11:G11"/>
    <mergeCell ref="A16:F16"/>
    <mergeCell ref="A4:G4"/>
  </mergeCells>
  <phoneticPr fontId="38" type="noConversion"/>
  <printOptions horizontalCentered="1" verticalCentered="1"/>
  <pageMargins left="0.51181102362204722" right="0" top="0.39370078740157483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topLeftCell="A31" zoomScaleNormal="100" workbookViewId="0">
      <selection activeCell="D58" sqref="D58:G60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9.375" style="1" customWidth="1"/>
    <col min="12" max="12" width="0.875" style="1" customWidth="1"/>
    <col min="13" max="16384" width="11" style="1"/>
  </cols>
  <sheetData>
    <row r="1" spans="1:12" ht="22.5" customHeight="1" thickBot="1">
      <c r="A1" s="644" t="s">
        <v>211</v>
      </c>
      <c r="B1" s="645"/>
      <c r="C1" s="645"/>
      <c r="D1" s="645"/>
      <c r="E1" s="645"/>
      <c r="F1" s="645"/>
      <c r="G1" s="645"/>
      <c r="H1" s="645"/>
      <c r="I1" s="645"/>
      <c r="J1" s="645"/>
      <c r="K1" s="646"/>
      <c r="L1" s="276"/>
    </row>
    <row r="2" spans="1:12" ht="20.25">
      <c r="A2" s="400" t="s">
        <v>179</v>
      </c>
      <c r="B2" s="401"/>
      <c r="C2" s="402"/>
      <c r="D2" s="401"/>
      <c r="E2" s="401"/>
      <c r="F2" s="401"/>
      <c r="G2" s="403"/>
      <c r="H2" s="401"/>
      <c r="I2" s="401"/>
      <c r="J2" s="401"/>
      <c r="K2" s="404"/>
      <c r="L2" s="276"/>
    </row>
    <row r="3" spans="1:12" ht="20.25">
      <c r="A3" s="409" t="s">
        <v>180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  <c r="L3" s="276"/>
    </row>
    <row r="4" spans="1:1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  <c r="L4" s="276"/>
    </row>
    <row r="5" spans="1:12" ht="20.25">
      <c r="A5" s="650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  <c r="L5" s="276"/>
    </row>
    <row r="6" spans="1:12" ht="12.75">
      <c r="A6" s="419"/>
      <c r="B6" s="420"/>
      <c r="C6" s="420"/>
      <c r="D6" s="420"/>
      <c r="E6" s="429"/>
      <c r="F6" s="420"/>
      <c r="G6" s="420"/>
      <c r="H6" s="420"/>
      <c r="I6" s="420"/>
      <c r="J6" s="420"/>
      <c r="K6" s="430"/>
      <c r="L6" s="276"/>
    </row>
    <row r="7" spans="1:12" ht="15.75">
      <c r="A7" s="424" t="s">
        <v>29</v>
      </c>
      <c r="B7" s="426" t="s">
        <v>30</v>
      </c>
      <c r="C7" s="425"/>
      <c r="D7" s="425"/>
      <c r="E7" s="425"/>
      <c r="F7" s="425"/>
      <c r="G7" s="425"/>
      <c r="H7" s="425"/>
      <c r="I7" s="425"/>
      <c r="J7" s="425"/>
      <c r="K7" s="432"/>
      <c r="L7" s="276"/>
    </row>
    <row r="8" spans="1:12" ht="12.75">
      <c r="A8" s="424"/>
      <c r="B8" s="425"/>
      <c r="C8" s="445"/>
      <c r="D8" s="425"/>
      <c r="E8" s="425"/>
      <c r="F8" s="425"/>
      <c r="G8" s="425"/>
      <c r="H8" s="435"/>
      <c r="I8" s="435"/>
      <c r="J8" s="425"/>
      <c r="K8" s="432"/>
      <c r="L8" s="276"/>
    </row>
    <row r="9" spans="1:12" ht="12.75">
      <c r="A9" s="424" t="s">
        <v>212</v>
      </c>
      <c r="B9" s="425"/>
      <c r="C9" s="445"/>
      <c r="D9" s="425"/>
      <c r="E9" s="399"/>
      <c r="F9" s="399"/>
      <c r="G9" s="399"/>
      <c r="H9" s="435"/>
      <c r="I9" s="435"/>
      <c r="J9" s="425"/>
      <c r="K9" s="432"/>
      <c r="L9" s="276"/>
    </row>
    <row r="10" spans="1:12" ht="12.75">
      <c r="A10" s="424"/>
      <c r="B10" s="425"/>
      <c r="C10" s="445"/>
      <c r="D10" s="425"/>
      <c r="E10" s="425"/>
      <c r="F10" s="425"/>
      <c r="G10" s="425"/>
      <c r="H10" s="425"/>
      <c r="I10" s="425"/>
      <c r="J10" s="425"/>
      <c r="K10" s="432"/>
      <c r="L10" s="276"/>
    </row>
    <row r="11" spans="1:12" ht="12.75">
      <c r="A11" s="424"/>
      <c r="B11" s="425"/>
      <c r="C11" s="445"/>
      <c r="D11" s="425"/>
      <c r="E11" s="425"/>
      <c r="F11" s="425"/>
      <c r="G11" s="425"/>
      <c r="H11" s="425"/>
      <c r="I11" s="425"/>
      <c r="J11" s="425"/>
      <c r="K11" s="432"/>
      <c r="L11" s="276"/>
    </row>
    <row r="12" spans="1:12" ht="12.75">
      <c r="A12" s="436"/>
      <c r="B12" s="451"/>
      <c r="C12" s="438"/>
      <c r="D12" s="451"/>
      <c r="E12" s="439"/>
      <c r="F12" s="440"/>
      <c r="G12" s="441"/>
      <c r="H12" s="441"/>
      <c r="I12" s="441"/>
      <c r="J12" s="441"/>
      <c r="K12" s="432"/>
      <c r="L12" s="276"/>
    </row>
    <row r="13" spans="1:12" ht="12.75">
      <c r="A13" s="455"/>
      <c r="B13" s="456"/>
      <c r="C13" s="456"/>
      <c r="D13" s="456"/>
      <c r="E13" s="456"/>
      <c r="F13" s="456"/>
      <c r="G13" s="456"/>
      <c r="H13" s="456"/>
      <c r="I13" s="449" t="s">
        <v>33</v>
      </c>
      <c r="J13" s="457"/>
      <c r="K13" s="458"/>
      <c r="L13" s="276"/>
    </row>
    <row r="14" spans="1:12" ht="12.75">
      <c r="A14" s="452" t="s">
        <v>44</v>
      </c>
      <c r="B14" s="453" t="s">
        <v>36</v>
      </c>
      <c r="C14" s="453" t="s">
        <v>45</v>
      </c>
      <c r="D14" s="453" t="s">
        <v>36</v>
      </c>
      <c r="E14" s="453" t="s">
        <v>35</v>
      </c>
      <c r="F14" s="453" t="s">
        <v>38</v>
      </c>
      <c r="G14" s="453" t="s">
        <v>39</v>
      </c>
      <c r="H14" s="453" t="s">
        <v>40</v>
      </c>
      <c r="I14" s="453" t="s">
        <v>41</v>
      </c>
      <c r="J14" s="454" t="s">
        <v>42</v>
      </c>
      <c r="K14" s="465"/>
      <c r="L14" s="276"/>
    </row>
    <row r="15" spans="1:12" ht="12.75">
      <c r="A15" s="467"/>
      <c r="B15" s="468"/>
      <c r="C15" s="468"/>
      <c r="D15" s="468"/>
      <c r="E15" s="468"/>
      <c r="F15" s="468"/>
      <c r="G15" s="468"/>
      <c r="H15" s="468"/>
      <c r="I15" s="462" t="s">
        <v>43</v>
      </c>
      <c r="J15" s="469"/>
      <c r="K15" s="458"/>
      <c r="L15" s="276"/>
    </row>
    <row r="16" spans="1:12" ht="12.75">
      <c r="A16" s="470"/>
      <c r="B16" s="466"/>
      <c r="C16" s="466"/>
      <c r="D16" s="466"/>
      <c r="E16" s="466"/>
      <c r="F16" s="466"/>
      <c r="G16" s="466"/>
      <c r="H16" s="466"/>
      <c r="I16" s="466"/>
      <c r="J16" s="474"/>
      <c r="K16" s="432"/>
      <c r="L16" s="276"/>
    </row>
    <row r="17" spans="1:12" ht="12.75">
      <c r="A17" s="470"/>
      <c r="B17" s="466"/>
      <c r="C17" s="466"/>
      <c r="D17" s="466"/>
      <c r="E17" s="466"/>
      <c r="F17" s="471" t="s">
        <v>48</v>
      </c>
      <c r="G17" s="453" t="s">
        <v>49</v>
      </c>
      <c r="H17" s="466"/>
      <c r="I17" s="466"/>
      <c r="J17" s="474"/>
      <c r="K17" s="432"/>
      <c r="L17" s="276"/>
    </row>
    <row r="18" spans="1:12" ht="12.75">
      <c r="A18" s="356">
        <v>1</v>
      </c>
      <c r="B18" s="453" t="s">
        <v>159</v>
      </c>
      <c r="C18" s="357">
        <v>120</v>
      </c>
      <c r="D18" s="453" t="s">
        <v>56</v>
      </c>
      <c r="E18" s="476">
        <v>80</v>
      </c>
      <c r="F18" s="471" t="s">
        <v>58</v>
      </c>
      <c r="G18" s="471" t="s">
        <v>213</v>
      </c>
      <c r="H18" s="476">
        <f t="shared" ref="H18:H23" si="0">E18</f>
        <v>80</v>
      </c>
      <c r="I18" s="197">
        <v>405</v>
      </c>
      <c r="J18" s="494">
        <f>(+I18*H18)*A18/C18</f>
        <v>270</v>
      </c>
      <c r="K18" s="489">
        <f t="shared" ref="K18:K23" si="1">J18/J$51</f>
        <v>5.8999999999999999E-3</v>
      </c>
      <c r="L18" s="276"/>
    </row>
    <row r="19" spans="1:12" ht="12.75">
      <c r="A19" s="358">
        <v>2</v>
      </c>
      <c r="B19" s="453" t="s">
        <v>159</v>
      </c>
      <c r="C19" s="357">
        <v>1</v>
      </c>
      <c r="D19" s="453" t="s">
        <v>56</v>
      </c>
      <c r="E19" s="476">
        <v>160</v>
      </c>
      <c r="F19" s="471" t="s">
        <v>69</v>
      </c>
      <c r="G19" s="471" t="s">
        <v>197</v>
      </c>
      <c r="H19" s="476">
        <f t="shared" si="0"/>
        <v>160</v>
      </c>
      <c r="I19" s="197">
        <v>15.91</v>
      </c>
      <c r="J19" s="494">
        <f>(I19*H19)*A19/C19</f>
        <v>5091.2</v>
      </c>
      <c r="K19" s="489">
        <f t="shared" si="1"/>
        <v>0.1115</v>
      </c>
      <c r="L19" s="276"/>
    </row>
    <row r="20" spans="1:12" ht="12.75">
      <c r="A20" s="356">
        <v>1</v>
      </c>
      <c r="B20" s="453" t="s">
        <v>159</v>
      </c>
      <c r="C20" s="357">
        <v>12</v>
      </c>
      <c r="D20" s="453" t="s">
        <v>56</v>
      </c>
      <c r="E20" s="476">
        <f>E19</f>
        <v>160</v>
      </c>
      <c r="F20" s="471" t="s">
        <v>78</v>
      </c>
      <c r="G20" s="471" t="s">
        <v>198</v>
      </c>
      <c r="H20" s="476">
        <f t="shared" si="0"/>
        <v>160</v>
      </c>
      <c r="I20" s="197">
        <v>19.899999999999999</v>
      </c>
      <c r="J20" s="494">
        <f>(+I20*H20)*A20/C20</f>
        <v>265.33</v>
      </c>
      <c r="K20" s="489">
        <f t="shared" si="1"/>
        <v>5.7999999999999996E-3</v>
      </c>
      <c r="L20" s="276"/>
    </row>
    <row r="21" spans="1:12" ht="12.75">
      <c r="A21" s="356">
        <v>1</v>
      </c>
      <c r="B21" s="453" t="s">
        <v>159</v>
      </c>
      <c r="C21" s="357">
        <v>12</v>
      </c>
      <c r="D21" s="453" t="s">
        <v>56</v>
      </c>
      <c r="E21" s="476">
        <f>E20</f>
        <v>160</v>
      </c>
      <c r="F21" s="471" t="s">
        <v>82</v>
      </c>
      <c r="G21" s="471" t="s">
        <v>214</v>
      </c>
      <c r="H21" s="476">
        <f t="shared" si="0"/>
        <v>160</v>
      </c>
      <c r="I21" s="197">
        <v>17.899999999999999</v>
      </c>
      <c r="J21" s="494">
        <f>(+I21*H21)*A21/C21</f>
        <v>238.67</v>
      </c>
      <c r="K21" s="489">
        <f t="shared" si="1"/>
        <v>5.1999999999999998E-3</v>
      </c>
      <c r="L21" s="276"/>
    </row>
    <row r="22" spans="1:12" ht="12.75">
      <c r="A22" s="354">
        <f>3*26</f>
        <v>78</v>
      </c>
      <c r="B22" s="453" t="s">
        <v>159</v>
      </c>
      <c r="C22" s="357">
        <v>1</v>
      </c>
      <c r="D22" s="453" t="s">
        <v>56</v>
      </c>
      <c r="E22" s="476">
        <f>E18</f>
        <v>80</v>
      </c>
      <c r="F22" s="471" t="s">
        <v>85</v>
      </c>
      <c r="G22" s="471" t="s">
        <v>201</v>
      </c>
      <c r="H22" s="476">
        <f t="shared" si="0"/>
        <v>80</v>
      </c>
      <c r="I22" s="197">
        <v>3.79</v>
      </c>
      <c r="J22" s="494">
        <f>(+I22*H22)*A22/C22</f>
        <v>23649.599999999999</v>
      </c>
      <c r="K22" s="489">
        <f t="shared" si="1"/>
        <v>0.51800000000000002</v>
      </c>
      <c r="L22" s="276"/>
    </row>
    <row r="23" spans="1:12" ht="12.75">
      <c r="A23" s="356">
        <v>2</v>
      </c>
      <c r="B23" s="453" t="s">
        <v>159</v>
      </c>
      <c r="C23" s="357">
        <v>6</v>
      </c>
      <c r="D23" s="453" t="s">
        <v>56</v>
      </c>
      <c r="E23" s="476">
        <v>160</v>
      </c>
      <c r="F23" s="471" t="s">
        <v>88</v>
      </c>
      <c r="G23" s="471" t="s">
        <v>168</v>
      </c>
      <c r="H23" s="476">
        <f t="shared" si="0"/>
        <v>160</v>
      </c>
      <c r="I23" s="197">
        <v>45</v>
      </c>
      <c r="J23" s="494">
        <f>(I23*H23*A23)/C23</f>
        <v>2400</v>
      </c>
      <c r="K23" s="489">
        <f t="shared" si="1"/>
        <v>5.2600000000000001E-2</v>
      </c>
      <c r="L23" s="276"/>
    </row>
    <row r="24" spans="1:12" ht="12.75">
      <c r="A24" s="354">
        <v>1</v>
      </c>
      <c r="B24" s="453" t="s">
        <v>159</v>
      </c>
      <c r="C24" s="357">
        <v>120</v>
      </c>
      <c r="D24" s="453" t="s">
        <v>56</v>
      </c>
      <c r="E24" s="476">
        <f>E18</f>
        <v>80</v>
      </c>
      <c r="F24" s="471" t="s">
        <v>93</v>
      </c>
      <c r="G24" s="471" t="s">
        <v>331</v>
      </c>
      <c r="H24" s="476">
        <f>E24</f>
        <v>80</v>
      </c>
      <c r="I24" s="197">
        <v>890</v>
      </c>
      <c r="J24" s="494">
        <f>(+I24*H24)*A24/C24</f>
        <v>593.33000000000004</v>
      </c>
      <c r="K24" s="489">
        <f>J24/J$51</f>
        <v>1.2999999999999999E-2</v>
      </c>
      <c r="L24" s="276"/>
    </row>
    <row r="25" spans="1:12" ht="12.75">
      <c r="A25" s="354">
        <v>4</v>
      </c>
      <c r="B25" s="453" t="s">
        <v>334</v>
      </c>
      <c r="C25" s="357">
        <v>1</v>
      </c>
      <c r="D25" s="453" t="s">
        <v>56</v>
      </c>
      <c r="E25" s="476">
        <f>E24</f>
        <v>80</v>
      </c>
      <c r="F25" s="471" t="s">
        <v>100</v>
      </c>
      <c r="G25" s="471" t="s">
        <v>333</v>
      </c>
      <c r="H25" s="476">
        <f>E25</f>
        <v>80</v>
      </c>
      <c r="I25" s="197">
        <v>10</v>
      </c>
      <c r="J25" s="494">
        <f>(+I25*H25)*A25/C25</f>
        <v>3200</v>
      </c>
      <c r="K25" s="489">
        <f>J25/J$51</f>
        <v>7.0099999999999996E-2</v>
      </c>
      <c r="L25" s="276"/>
    </row>
    <row r="26" spans="1:12" ht="12.75">
      <c r="A26" s="492"/>
      <c r="B26" s="453"/>
      <c r="C26" s="476"/>
      <c r="D26" s="453"/>
      <c r="E26" s="476"/>
      <c r="F26" s="471"/>
      <c r="G26" s="529"/>
      <c r="H26" s="630"/>
      <c r="I26" s="627"/>
      <c r="J26" s="623"/>
      <c r="K26" s="489"/>
      <c r="L26" s="276"/>
    </row>
    <row r="27" spans="1:12" ht="12.75">
      <c r="A27" s="490"/>
      <c r="B27" s="466"/>
      <c r="C27" s="478"/>
      <c r="D27" s="466"/>
      <c r="E27" s="466"/>
      <c r="F27" s="485" t="s">
        <v>160</v>
      </c>
      <c r="G27" s="474" t="s">
        <v>299</v>
      </c>
      <c r="H27" s="624"/>
      <c r="I27" s="627"/>
      <c r="J27" s="623">
        <f>SUM(J18:J25)</f>
        <v>35708.129999999997</v>
      </c>
      <c r="K27" s="489"/>
      <c r="L27" s="276"/>
    </row>
    <row r="28" spans="1:12" ht="12.75">
      <c r="A28" s="490"/>
      <c r="B28" s="466"/>
      <c r="C28" s="478"/>
      <c r="D28" s="466"/>
      <c r="E28" s="525"/>
      <c r="F28" s="485"/>
      <c r="G28" s="625"/>
      <c r="H28" s="626"/>
      <c r="I28" s="627"/>
      <c r="J28" s="628"/>
      <c r="K28" s="489"/>
      <c r="L28" s="276"/>
    </row>
    <row r="29" spans="1:12" ht="12.75">
      <c r="A29" s="353">
        <v>2.5</v>
      </c>
      <c r="B29" s="484" t="s">
        <v>155</v>
      </c>
      <c r="C29" s="478"/>
      <c r="D29" s="453"/>
      <c r="E29" s="525"/>
      <c r="F29" s="485" t="s">
        <v>305</v>
      </c>
      <c r="G29" s="529" t="s">
        <v>302</v>
      </c>
      <c r="H29" s="505">
        <f>A29/100</f>
        <v>2.5000000000000001E-2</v>
      </c>
      <c r="I29" s="530">
        <f>J27</f>
        <v>35708.129999999997</v>
      </c>
      <c r="J29" s="488">
        <f>H29*I29</f>
        <v>892.7</v>
      </c>
      <c r="K29" s="489">
        <f>J29/J$51</f>
        <v>1.9599999999999999E-2</v>
      </c>
      <c r="L29" s="276"/>
    </row>
    <row r="30" spans="1:12" ht="12.75">
      <c r="A30" s="470"/>
      <c r="B30" s="466"/>
      <c r="C30" s="495"/>
      <c r="D30" s="466"/>
      <c r="E30" s="466"/>
      <c r="F30" s="466"/>
      <c r="G30" s="466"/>
      <c r="H30" s="466"/>
      <c r="I30" s="495"/>
      <c r="J30" s="506"/>
      <c r="K30" s="629"/>
      <c r="L30" s="276"/>
    </row>
    <row r="31" spans="1:12" ht="12.75">
      <c r="A31" s="459"/>
      <c r="B31" s="460"/>
      <c r="C31" s="462"/>
      <c r="D31" s="460"/>
      <c r="E31" s="460"/>
      <c r="F31" s="497" t="s">
        <v>163</v>
      </c>
      <c r="G31" s="498" t="s">
        <v>332</v>
      </c>
      <c r="H31" s="544"/>
      <c r="I31" s="544"/>
      <c r="J31" s="545">
        <f>SUM(J27:J29)</f>
        <v>36600.83</v>
      </c>
      <c r="K31" s="515">
        <f>J31/J$51</f>
        <v>0.80169999999999997</v>
      </c>
      <c r="L31" s="276"/>
    </row>
    <row r="32" spans="1:12" ht="12.75">
      <c r="A32" s="521"/>
      <c r="B32" s="428"/>
      <c r="C32" s="428"/>
      <c r="D32" s="428"/>
      <c r="E32" s="428"/>
      <c r="F32" s="472"/>
      <c r="G32" s="472"/>
      <c r="H32" s="472"/>
      <c r="I32" s="472"/>
      <c r="J32" s="442"/>
      <c r="K32" s="547"/>
      <c r="L32" s="276"/>
    </row>
    <row r="33" spans="1:12" ht="20.25">
      <c r="A33" s="548" t="s">
        <v>104</v>
      </c>
      <c r="B33" s="549"/>
      <c r="C33" s="549"/>
      <c r="D33" s="549"/>
      <c r="E33" s="549"/>
      <c r="F33" s="549"/>
      <c r="G33" s="549"/>
      <c r="H33" s="549"/>
      <c r="I33" s="549"/>
      <c r="J33" s="549"/>
      <c r="K33" s="509"/>
      <c r="L33" s="276"/>
    </row>
    <row r="34" spans="1:12" ht="20.25">
      <c r="A34" s="521"/>
      <c r="B34" s="428"/>
      <c r="C34" s="428"/>
      <c r="D34" s="428"/>
      <c r="E34" s="428"/>
      <c r="F34" s="428"/>
      <c r="G34" s="473"/>
      <c r="H34" s="428"/>
      <c r="I34" s="428"/>
      <c r="J34" s="428"/>
      <c r="K34" s="412"/>
      <c r="L34" s="276"/>
    </row>
    <row r="35" spans="1:12" ht="12.75">
      <c r="A35" s="538"/>
      <c r="B35" s="448"/>
      <c r="C35" s="447"/>
      <c r="D35" s="447"/>
      <c r="E35" s="447"/>
      <c r="F35" s="551"/>
      <c r="G35" s="552"/>
      <c r="H35" s="456"/>
      <c r="I35" s="449" t="s">
        <v>33</v>
      </c>
      <c r="J35" s="450"/>
      <c r="K35" s="432"/>
      <c r="L35" s="276"/>
    </row>
    <row r="36" spans="1:12" ht="12.75">
      <c r="A36" s="521"/>
      <c r="B36" s="540"/>
      <c r="C36" s="453" t="s">
        <v>44</v>
      </c>
      <c r="D36" s="453" t="s">
        <v>36</v>
      </c>
      <c r="E36" s="453" t="s">
        <v>38</v>
      </c>
      <c r="F36" s="642" t="s">
        <v>39</v>
      </c>
      <c r="G36" s="643"/>
      <c r="H36" s="453" t="s">
        <v>40</v>
      </c>
      <c r="I36" s="453" t="s">
        <v>41</v>
      </c>
      <c r="J36" s="454" t="s">
        <v>42</v>
      </c>
      <c r="K36" s="432"/>
      <c r="L36" s="276"/>
    </row>
    <row r="37" spans="1:12" ht="12.75">
      <c r="A37" s="521"/>
      <c r="B37" s="540"/>
      <c r="C37" s="460"/>
      <c r="D37" s="460"/>
      <c r="E37" s="460"/>
      <c r="F37" s="463"/>
      <c r="G37" s="441"/>
      <c r="H37" s="468"/>
      <c r="I37" s="462" t="s">
        <v>43</v>
      </c>
      <c r="J37" s="463"/>
      <c r="K37" s="553"/>
      <c r="L37" s="276"/>
    </row>
    <row r="38" spans="1:12" ht="12.75">
      <c r="A38" s="521"/>
      <c r="B38" s="540"/>
      <c r="C38" s="466"/>
      <c r="D38" s="466"/>
      <c r="E38" s="471" t="s">
        <v>114</v>
      </c>
      <c r="F38" s="554" t="s">
        <v>306</v>
      </c>
      <c r="G38" s="421"/>
      <c r="H38" s="555"/>
      <c r="I38" s="478">
        <f>J31</f>
        <v>36600.83</v>
      </c>
      <c r="J38" s="556">
        <f>J31</f>
        <v>36600.83</v>
      </c>
      <c r="K38" s="432"/>
      <c r="L38" s="276"/>
    </row>
    <row r="39" spans="1:12" ht="12.75">
      <c r="A39" s="521"/>
      <c r="B39" s="540"/>
      <c r="C39" s="493"/>
      <c r="D39" s="453"/>
      <c r="E39" s="471"/>
      <c r="F39" s="529"/>
      <c r="G39" s="546"/>
      <c r="H39" s="477"/>
      <c r="I39" s="495"/>
      <c r="J39" s="494"/>
      <c r="K39" s="489"/>
      <c r="L39" s="276"/>
    </row>
    <row r="40" spans="1:12" ht="12.75">
      <c r="A40" s="521"/>
      <c r="B40" s="540"/>
      <c r="C40" s="179">
        <v>5.5</v>
      </c>
      <c r="D40" s="453" t="s">
        <v>21</v>
      </c>
      <c r="E40" s="471" t="s">
        <v>117</v>
      </c>
      <c r="F40" s="529" t="s">
        <v>106</v>
      </c>
      <c r="G40" s="546"/>
      <c r="H40" s="477">
        <f>(C40/100)</f>
        <v>5.5E-2</v>
      </c>
      <c r="I40" s="495"/>
      <c r="J40" s="494">
        <f>(+J38*H40)</f>
        <v>2013.05</v>
      </c>
      <c r="K40" s="489">
        <f>J40/J$51</f>
        <v>4.41E-2</v>
      </c>
      <c r="L40" s="276"/>
    </row>
    <row r="41" spans="1:12" ht="12.75">
      <c r="A41" s="521"/>
      <c r="B41" s="540"/>
      <c r="C41" s="478" t="s">
        <v>107</v>
      </c>
      <c r="D41" s="466"/>
      <c r="E41" s="466"/>
      <c r="F41" s="474"/>
      <c r="G41" s="428"/>
      <c r="H41" s="477"/>
      <c r="I41" s="478"/>
      <c r="J41" s="494"/>
      <c r="K41" s="558"/>
      <c r="L41" s="276"/>
    </row>
    <row r="42" spans="1:12" ht="12.75">
      <c r="A42" s="521"/>
      <c r="B42" s="540"/>
      <c r="C42" s="559"/>
      <c r="D42" s="466"/>
      <c r="E42" s="471" t="s">
        <v>120</v>
      </c>
      <c r="F42" s="529" t="s">
        <v>289</v>
      </c>
      <c r="G42" s="428"/>
      <c r="H42" s="477"/>
      <c r="I42" s="495"/>
      <c r="J42" s="494">
        <f>SUM(J38:J40)</f>
        <v>38613.879999999997</v>
      </c>
      <c r="K42" s="489"/>
      <c r="L42" s="276"/>
    </row>
    <row r="43" spans="1:12" ht="12.75">
      <c r="A43" s="521"/>
      <c r="B43" s="540"/>
      <c r="C43" s="478">
        <v>0</v>
      </c>
      <c r="D43" s="453" t="s">
        <v>21</v>
      </c>
      <c r="E43" s="471" t="s">
        <v>121</v>
      </c>
      <c r="F43" s="529" t="s">
        <v>110</v>
      </c>
      <c r="G43" s="546"/>
      <c r="H43" s="477">
        <f>(C43/100)</f>
        <v>0</v>
      </c>
      <c r="I43" s="530">
        <f>J42</f>
        <v>38613.879999999997</v>
      </c>
      <c r="J43" s="494">
        <f>(+J42*H43)</f>
        <v>0</v>
      </c>
      <c r="K43" s="489">
        <f>J43/J$51</f>
        <v>0</v>
      </c>
      <c r="L43" s="276"/>
    </row>
    <row r="44" spans="1:12" ht="12.75">
      <c r="A44" s="521"/>
      <c r="B44" s="540"/>
      <c r="C44" s="478" t="s">
        <v>107</v>
      </c>
      <c r="D44" s="466"/>
      <c r="E44" s="466"/>
      <c r="F44" s="474"/>
      <c r="G44" s="428"/>
      <c r="H44" s="477"/>
      <c r="I44" s="478"/>
      <c r="J44" s="494"/>
      <c r="K44" s="558"/>
      <c r="L44" s="276"/>
    </row>
    <row r="45" spans="1:12" ht="12.75">
      <c r="A45" s="521"/>
      <c r="B45" s="540"/>
      <c r="C45" s="478" t="s">
        <v>107</v>
      </c>
      <c r="D45" s="466"/>
      <c r="E45" s="471" t="s">
        <v>122</v>
      </c>
      <c r="F45" s="529" t="s">
        <v>290</v>
      </c>
      <c r="G45" s="428"/>
      <c r="H45" s="477"/>
      <c r="I45" s="495"/>
      <c r="J45" s="494">
        <f>SUM(J42:J43)</f>
        <v>38613.879999999997</v>
      </c>
      <c r="K45" s="558"/>
      <c r="L45" s="276"/>
    </row>
    <row r="46" spans="1:12" ht="12.75">
      <c r="A46" s="521"/>
      <c r="B46" s="540"/>
      <c r="C46" s="179">
        <v>9</v>
      </c>
      <c r="D46" s="453" t="s">
        <v>21</v>
      </c>
      <c r="E46" s="471" t="s">
        <v>123</v>
      </c>
      <c r="F46" s="529" t="s">
        <v>292</v>
      </c>
      <c r="G46" s="546"/>
      <c r="H46" s="477">
        <f>(C46/100)</f>
        <v>0.09</v>
      </c>
      <c r="I46" s="530">
        <f>J45</f>
        <v>38613.879999999997</v>
      </c>
      <c r="J46" s="494">
        <f>(+J45*H46)</f>
        <v>3475.25</v>
      </c>
      <c r="K46" s="489">
        <f>J46/J$51</f>
        <v>7.6100000000000001E-2</v>
      </c>
      <c r="L46" s="276"/>
    </row>
    <row r="47" spans="1:12" ht="12.75">
      <c r="A47" s="521"/>
      <c r="B47" s="540"/>
      <c r="C47" s="478" t="s">
        <v>107</v>
      </c>
      <c r="D47" s="466"/>
      <c r="E47" s="466"/>
      <c r="F47" s="474"/>
      <c r="G47" s="428"/>
      <c r="H47" s="477"/>
      <c r="I47" s="495"/>
      <c r="J47" s="494"/>
      <c r="K47" s="558"/>
      <c r="L47" s="276"/>
    </row>
    <row r="48" spans="1:12" ht="12.75">
      <c r="A48" s="521"/>
      <c r="B48" s="540"/>
      <c r="C48" s="478" t="s">
        <v>107</v>
      </c>
      <c r="D48" s="466"/>
      <c r="E48" s="471" t="s">
        <v>125</v>
      </c>
      <c r="F48" s="529" t="s">
        <v>128</v>
      </c>
      <c r="G48" s="428"/>
      <c r="H48" s="477"/>
      <c r="I48" s="495"/>
      <c r="J48" s="494">
        <f>SUM(J45:J46)</f>
        <v>42089.13</v>
      </c>
      <c r="K48" s="558"/>
      <c r="L48" s="276"/>
    </row>
    <row r="49" spans="1:12" ht="12.75">
      <c r="A49" s="521"/>
      <c r="B49" s="540"/>
      <c r="C49" s="197">
        <f>(15%*C46)+(9%*C46)+3.65+2</f>
        <v>7.81</v>
      </c>
      <c r="D49" s="453" t="s">
        <v>21</v>
      </c>
      <c r="E49" s="471" t="s">
        <v>131</v>
      </c>
      <c r="F49" s="529" t="s">
        <v>119</v>
      </c>
      <c r="G49" s="546"/>
      <c r="H49" s="477">
        <f>(C49/100)</f>
        <v>7.8100000000000003E-2</v>
      </c>
      <c r="I49" s="495"/>
      <c r="J49" s="494">
        <f>(+J51*H49)</f>
        <v>3565.64</v>
      </c>
      <c r="K49" s="489">
        <f>J49/J$51</f>
        <v>7.8100000000000003E-2</v>
      </c>
      <c r="L49" s="276"/>
    </row>
    <row r="50" spans="1:12" ht="12.75">
      <c r="A50" s="521"/>
      <c r="B50" s="540"/>
      <c r="C50" s="478" t="s">
        <v>107</v>
      </c>
      <c r="D50" s="466"/>
      <c r="E50" s="466"/>
      <c r="F50" s="474"/>
      <c r="G50" s="428"/>
      <c r="H50" s="495"/>
      <c r="I50" s="495"/>
      <c r="J50" s="494"/>
      <c r="K50" s="558"/>
      <c r="L50" s="276"/>
    </row>
    <row r="51" spans="1:12" ht="13.5" thickBot="1">
      <c r="A51" s="582"/>
      <c r="B51" s="583"/>
      <c r="C51" s="584" t="s">
        <v>107</v>
      </c>
      <c r="D51" s="585"/>
      <c r="E51" s="586" t="s">
        <v>127</v>
      </c>
      <c r="F51" s="587" t="s">
        <v>291</v>
      </c>
      <c r="G51" s="588"/>
      <c r="H51" s="588"/>
      <c r="I51" s="588"/>
      <c r="J51" s="589">
        <f>J48/(1-H49)</f>
        <v>45654.77</v>
      </c>
      <c r="K51" s="590">
        <f>J51/J51</f>
        <v>1</v>
      </c>
      <c r="L51" s="276"/>
    </row>
    <row r="53" spans="1:12" ht="15.75">
      <c r="A53" s="30" t="s">
        <v>280</v>
      </c>
    </row>
    <row r="54" spans="1:12" ht="15.75">
      <c r="A54" s="30" t="s">
        <v>281</v>
      </c>
    </row>
    <row r="55" spans="1:12">
      <c r="G55" s="13"/>
    </row>
    <row r="56" spans="1:12" ht="15.75">
      <c r="A56" s="30" t="str">
        <f>'Ônibus Equipe Capina'!A71</f>
        <v>Patos de Minas-MG, 01 de novembro de 2016</v>
      </c>
      <c r="G56" s="11"/>
      <c r="H56" s="11"/>
      <c r="I56" s="11"/>
    </row>
    <row r="57" spans="1:12">
      <c r="A57" s="217"/>
      <c r="B57" s="217"/>
      <c r="C57" s="217"/>
      <c r="D57" s="217"/>
      <c r="E57" s="217"/>
      <c r="F57" s="217"/>
      <c r="G57" s="217"/>
      <c r="H57" s="217"/>
      <c r="I57" s="217"/>
      <c r="J57" s="217"/>
    </row>
    <row r="58" spans="1:12" ht="12.75" thickBot="1">
      <c r="D58" s="694"/>
      <c r="E58" s="694"/>
      <c r="F58" s="694"/>
      <c r="G58" s="694"/>
    </row>
    <row r="59" spans="1:12" ht="12.75" thickTop="1">
      <c r="D59" s="1" t="s">
        <v>346</v>
      </c>
    </row>
    <row r="60" spans="1:12">
      <c r="D60" s="1" t="s">
        <v>347</v>
      </c>
    </row>
    <row r="61" spans="1:12">
      <c r="C61" s="277"/>
    </row>
    <row r="81" ht="2.25" customHeight="1"/>
    <row r="82" ht="12.75" customHeight="1"/>
    <row r="83" ht="0.75" customHeight="1"/>
    <row r="108" spans="12:12" ht="12.75">
      <c r="L108" s="218"/>
    </row>
    <row r="109" spans="12:12" ht="12.75">
      <c r="L109" s="218"/>
    </row>
    <row r="110" spans="12:12" ht="12.75">
      <c r="L110" s="218"/>
    </row>
    <row r="111" spans="12:12" ht="12.75">
      <c r="L111" s="218"/>
    </row>
    <row r="112" spans="12:12" ht="12.75">
      <c r="L112" s="2"/>
    </row>
    <row r="113" spans="1:12" ht="12.75">
      <c r="A113" s="218"/>
      <c r="B113" s="218"/>
      <c r="C113" s="218"/>
      <c r="D113" s="218"/>
      <c r="E113" s="222"/>
      <c r="F113" s="222"/>
      <c r="G113" s="222"/>
      <c r="H113" s="222"/>
      <c r="I113" s="222"/>
      <c r="J113" s="222"/>
      <c r="K113" s="222"/>
    </row>
    <row r="114" spans="1:12" ht="12.75">
      <c r="A114" s="218"/>
      <c r="B114" s="218"/>
      <c r="C114" s="218"/>
      <c r="D114" s="218"/>
      <c r="E114" s="218"/>
      <c r="F114" s="218"/>
      <c r="G114" s="218"/>
      <c r="H114" s="218"/>
      <c r="I114" s="218"/>
      <c r="J114" s="223"/>
      <c r="K114" s="223"/>
      <c r="L114" s="130"/>
    </row>
    <row r="115" spans="1:12" ht="12.75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</row>
    <row r="116" spans="1:12" ht="12.75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</row>
    <row r="117" spans="1:12" ht="12.75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</row>
    <row r="118" spans="1:12" ht="12.7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1:12" ht="12.75">
      <c r="A119" s="2"/>
      <c r="B119" s="2"/>
      <c r="C119" s="2"/>
      <c r="D119" s="2"/>
      <c r="E119" s="224"/>
      <c r="F119" s="2"/>
      <c r="G119" s="2"/>
      <c r="H119" s="2"/>
      <c r="I119" s="2"/>
      <c r="J119" s="2"/>
      <c r="K119" s="2"/>
      <c r="L119" s="4"/>
    </row>
    <row r="120" spans="1:12" ht="12.75">
      <c r="A120" s="2"/>
      <c r="B120" s="2"/>
      <c r="C120" s="2"/>
      <c r="D120" s="2"/>
      <c r="E120" s="225"/>
      <c r="F120" s="225"/>
      <c r="G120" s="225"/>
      <c r="H120" s="225"/>
      <c r="I120" s="2"/>
      <c r="J120" s="2"/>
      <c r="K120" s="2"/>
      <c r="L120" s="4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1:12" ht="12.75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4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1:12" ht="12.75">
      <c r="A125" s="2"/>
      <c r="B125" s="5"/>
      <c r="C125" s="2"/>
      <c r="D125" s="221"/>
      <c r="E125" s="2"/>
      <c r="F125" s="2"/>
      <c r="G125" s="2"/>
      <c r="H125" s="2"/>
      <c r="I125" s="2"/>
      <c r="J125" s="2"/>
      <c r="K125" s="2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5"/>
      <c r="C128" s="2"/>
      <c r="D128" s="221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6"/>
      <c r="C131" s="4"/>
      <c r="D131" s="226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4"/>
    </row>
    <row r="135" spans="1:12">
      <c r="A135" s="4"/>
      <c r="B135" s="4"/>
      <c r="C135" s="6"/>
      <c r="D135" s="4"/>
      <c r="E135" s="4"/>
      <c r="F135" s="4"/>
      <c r="G135" s="227"/>
      <c r="H135" s="227"/>
      <c r="L135" s="4"/>
    </row>
    <row r="136" spans="1:12">
      <c r="A136" s="7"/>
      <c r="B136" s="7"/>
      <c r="C136" s="7"/>
      <c r="D136" s="7"/>
      <c r="E136" s="7"/>
      <c r="F136" s="7"/>
      <c r="G136" s="7"/>
      <c r="H136" s="7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L137" s="4"/>
    </row>
    <row r="138" spans="1:12">
      <c r="A138" s="4"/>
      <c r="B138" s="4"/>
      <c r="C138" s="4"/>
      <c r="D138" s="4"/>
      <c r="E138" s="4"/>
      <c r="F138" s="4"/>
      <c r="G138" s="4"/>
      <c r="H138" s="4"/>
      <c r="L138" s="4"/>
    </row>
    <row r="139" spans="1:12">
      <c r="B139" s="228"/>
      <c r="C139" s="229"/>
      <c r="G139" s="230"/>
      <c r="H139" s="229"/>
      <c r="L139" s="4"/>
    </row>
    <row r="140" spans="1:12">
      <c r="G140" s="231"/>
      <c r="L140" s="4"/>
    </row>
    <row r="141" spans="1:12">
      <c r="G141" s="231"/>
      <c r="L141" s="4"/>
    </row>
    <row r="142" spans="1:12">
      <c r="B142" s="228"/>
      <c r="C142" s="229"/>
      <c r="G142" s="230"/>
      <c r="H142" s="229"/>
      <c r="L142" s="4"/>
    </row>
    <row r="143" spans="1:12">
      <c r="G143" s="20"/>
      <c r="L143" s="4"/>
    </row>
    <row r="144" spans="1:12">
      <c r="G144" s="20"/>
      <c r="L144" s="4"/>
    </row>
    <row r="145" spans="1:12">
      <c r="B145" s="3"/>
      <c r="C145" s="232"/>
      <c r="G145" s="230"/>
      <c r="H145" s="229"/>
      <c r="L145" s="4"/>
    </row>
    <row r="146" spans="1:12">
      <c r="G146" s="20"/>
      <c r="L146" s="4"/>
    </row>
    <row r="147" spans="1:12">
      <c r="G147" s="20"/>
      <c r="L147" s="4"/>
    </row>
    <row r="148" spans="1:12">
      <c r="B148" s="3"/>
      <c r="C148" s="233"/>
      <c r="G148" s="230"/>
      <c r="H148" s="234"/>
      <c r="L148" s="4"/>
    </row>
    <row r="149" spans="1:12">
      <c r="J149" s="4"/>
      <c r="K149" s="4"/>
      <c r="L149" s="4"/>
    </row>
    <row r="150" spans="1:12">
      <c r="A150" s="235"/>
      <c r="B150" s="235"/>
      <c r="C150" s="235"/>
      <c r="D150" s="235"/>
      <c r="E150" s="235"/>
      <c r="F150" s="235"/>
      <c r="G150" s="235"/>
      <c r="H150" s="235"/>
      <c r="I150" s="235"/>
      <c r="J150" s="7"/>
      <c r="K150" s="7"/>
      <c r="L150" s="4"/>
    </row>
    <row r="151" spans="1:12">
      <c r="J151" s="4"/>
      <c r="K151" s="4"/>
      <c r="L151" s="4"/>
    </row>
    <row r="152" spans="1:12">
      <c r="B152" s="228"/>
      <c r="D152" s="234"/>
      <c r="J152" s="4"/>
      <c r="K152" s="4"/>
      <c r="L152" s="4"/>
    </row>
    <row r="153" spans="1:12">
      <c r="J153" s="4"/>
      <c r="K153" s="4"/>
      <c r="L153" s="4"/>
    </row>
    <row r="154" spans="1:12">
      <c r="A154" s="235"/>
      <c r="B154" s="235"/>
      <c r="C154" s="235"/>
      <c r="D154" s="235"/>
      <c r="E154" s="235"/>
      <c r="F154" s="235"/>
      <c r="G154" s="235"/>
      <c r="H154" s="235"/>
      <c r="I154" s="235"/>
      <c r="J154" s="7"/>
      <c r="K154" s="7"/>
      <c r="L154" s="4"/>
    </row>
    <row r="155" spans="1: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</sheetData>
  <mergeCells count="3">
    <mergeCell ref="A1:K1"/>
    <mergeCell ref="A5:J5"/>
    <mergeCell ref="F36:G36"/>
  </mergeCells>
  <phoneticPr fontId="35" type="noConversion"/>
  <printOptions horizontalCentered="1" verticalCentered="1"/>
  <pageMargins left="0" right="0" top="0.39370078740157483" bottom="0.19685039370078741" header="0.31496062992125984" footer="0.31496062992125984"/>
  <pageSetup paperSize="9" scale="70" orientation="portrait" r:id="rId1"/>
  <headerFooter alignWithMargins="0">
    <oddHeader>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topLeftCell="A31" zoomScaleNormal="100" workbookViewId="0">
      <selection activeCell="E55" sqref="E55:H57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8.625" style="1" customWidth="1"/>
    <col min="6" max="6" width="12.62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7.25" style="1" customWidth="1"/>
    <col min="12" max="12" width="0.875" style="1" customWidth="1"/>
    <col min="13" max="16384" width="11" style="1"/>
  </cols>
  <sheetData>
    <row r="1" spans="1:11" ht="22.5" customHeight="1" thickBot="1">
      <c r="A1" s="653" t="s">
        <v>203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 ht="20.25">
      <c r="A2" s="400" t="s">
        <v>143</v>
      </c>
      <c r="B2" s="401"/>
      <c r="C2" s="402"/>
      <c r="D2" s="401"/>
      <c r="E2" s="401"/>
      <c r="F2" s="401"/>
      <c r="G2" s="403"/>
      <c r="H2" s="401"/>
      <c r="I2" s="401"/>
      <c r="J2" s="631"/>
      <c r="K2" s="404"/>
    </row>
    <row r="3" spans="1:11" ht="20.25">
      <c r="A3" s="409" t="s">
        <v>144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</row>
    <row r="4" spans="1:1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</row>
    <row r="5" spans="1:11" ht="20.25">
      <c r="A5" s="650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</row>
    <row r="6" spans="1:11" ht="12.75">
      <c r="A6" s="419" t="s">
        <v>204</v>
      </c>
      <c r="B6" s="420"/>
      <c r="C6" s="420"/>
      <c r="D6" s="420"/>
      <c r="E6" s="429"/>
      <c r="F6" s="420"/>
      <c r="G6" s="420"/>
      <c r="H6" s="420"/>
      <c r="I6" s="420"/>
      <c r="J6" s="420"/>
      <c r="K6" s="430"/>
    </row>
    <row r="7" spans="1:11" ht="12.75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32"/>
    </row>
    <row r="8" spans="1:11" ht="12.75">
      <c r="A8" s="424"/>
      <c r="B8" s="425"/>
      <c r="C8" s="425"/>
      <c r="D8" s="425"/>
      <c r="E8" s="425"/>
      <c r="F8" s="425"/>
      <c r="G8" s="425"/>
      <c r="H8" s="425"/>
      <c r="I8" s="435"/>
      <c r="J8" s="425"/>
      <c r="K8" s="432"/>
    </row>
    <row r="9" spans="1:11" ht="15.75">
      <c r="A9" s="424" t="s">
        <v>29</v>
      </c>
      <c r="B9" s="426" t="s">
        <v>30</v>
      </c>
      <c r="C9" s="425"/>
      <c r="D9" s="425"/>
      <c r="E9" s="425"/>
      <c r="F9" s="425"/>
      <c r="G9" s="425"/>
      <c r="H9" s="425"/>
      <c r="I9" s="435"/>
      <c r="J9" s="425"/>
      <c r="K9" s="432"/>
    </row>
    <row r="10" spans="1:11" ht="12.75">
      <c r="A10" s="424"/>
      <c r="B10" s="425"/>
      <c r="C10" s="445"/>
      <c r="D10" s="425"/>
      <c r="E10" s="425"/>
      <c r="F10" s="425"/>
      <c r="G10" s="425"/>
      <c r="H10" s="425"/>
      <c r="I10" s="425"/>
      <c r="J10" s="425"/>
      <c r="K10" s="432"/>
    </row>
    <row r="11" spans="1:11" ht="12.75">
      <c r="A11" s="436"/>
      <c r="B11" s="451"/>
      <c r="C11" s="438"/>
      <c r="D11" s="451"/>
      <c r="E11" s="439"/>
      <c r="F11" s="440"/>
      <c r="G11" s="441"/>
      <c r="H11" s="441"/>
      <c r="I11" s="441"/>
      <c r="J11" s="441"/>
      <c r="K11" s="432"/>
    </row>
    <row r="12" spans="1:11" ht="12.75">
      <c r="A12" s="455"/>
      <c r="B12" s="456"/>
      <c r="C12" s="456"/>
      <c r="D12" s="456"/>
      <c r="E12" s="456"/>
      <c r="F12" s="456"/>
      <c r="G12" s="456"/>
      <c r="H12" s="456"/>
      <c r="I12" s="449" t="s">
        <v>33</v>
      </c>
      <c r="J12" s="457"/>
      <c r="K12" s="458"/>
    </row>
    <row r="13" spans="1:11" ht="12.75">
      <c r="A13" s="452" t="s">
        <v>44</v>
      </c>
      <c r="B13" s="453" t="s">
        <v>36</v>
      </c>
      <c r="C13" s="453" t="s">
        <v>45</v>
      </c>
      <c r="D13" s="453" t="s">
        <v>36</v>
      </c>
      <c r="E13" s="453" t="s">
        <v>35</v>
      </c>
      <c r="F13" s="453" t="s">
        <v>38</v>
      </c>
      <c r="G13" s="453" t="s">
        <v>39</v>
      </c>
      <c r="H13" s="453" t="s">
        <v>40</v>
      </c>
      <c r="I13" s="453" t="s">
        <v>41</v>
      </c>
      <c r="J13" s="454" t="s">
        <v>42</v>
      </c>
      <c r="K13" s="465"/>
    </row>
    <row r="14" spans="1:11" ht="12.75">
      <c r="A14" s="467"/>
      <c r="B14" s="468"/>
      <c r="C14" s="468"/>
      <c r="D14" s="468"/>
      <c r="E14" s="468"/>
      <c r="F14" s="468"/>
      <c r="G14" s="468"/>
      <c r="H14" s="468"/>
      <c r="I14" s="462" t="s">
        <v>43</v>
      </c>
      <c r="J14" s="469"/>
      <c r="K14" s="458"/>
    </row>
    <row r="15" spans="1:11" ht="12.75">
      <c r="A15" s="470"/>
      <c r="B15" s="466"/>
      <c r="C15" s="466"/>
      <c r="D15" s="466"/>
      <c r="E15" s="466"/>
      <c r="F15" s="466"/>
      <c r="G15" s="466"/>
      <c r="H15" s="466"/>
      <c r="I15" s="466"/>
      <c r="J15" s="474"/>
      <c r="K15" s="432"/>
    </row>
    <row r="16" spans="1:11" ht="12.75">
      <c r="A16" s="492">
        <v>1</v>
      </c>
      <c r="B16" s="453" t="s">
        <v>159</v>
      </c>
      <c r="C16" s="357">
        <v>60</v>
      </c>
      <c r="D16" s="453" t="s">
        <v>56</v>
      </c>
      <c r="E16" s="491">
        <v>4</v>
      </c>
      <c r="F16" s="471" t="s">
        <v>58</v>
      </c>
      <c r="G16" s="485" t="s">
        <v>205</v>
      </c>
      <c r="H16" s="519">
        <f>E16</f>
        <v>4</v>
      </c>
      <c r="I16" s="274">
        <v>2290</v>
      </c>
      <c r="J16" s="494">
        <f>(+I16/C16)*H16</f>
        <v>152.66999999999999</v>
      </c>
      <c r="K16" s="489">
        <f>J16/J45</f>
        <v>0.1077</v>
      </c>
    </row>
    <row r="17" spans="1:11" ht="12.75">
      <c r="A17" s="353">
        <v>3</v>
      </c>
      <c r="B17" s="484" t="s">
        <v>155</v>
      </c>
      <c r="C17" s="357">
        <v>1</v>
      </c>
      <c r="D17" s="453" t="s">
        <v>56</v>
      </c>
      <c r="E17" s="476">
        <f>E16</f>
        <v>4</v>
      </c>
      <c r="F17" s="471" t="s">
        <v>69</v>
      </c>
      <c r="G17" s="431" t="s">
        <v>309</v>
      </c>
      <c r="H17" s="519">
        <f>A17/100</f>
        <v>0.03</v>
      </c>
      <c r="I17" s="633">
        <f>I16</f>
        <v>2290</v>
      </c>
      <c r="J17" s="494">
        <f>H17*I17*E17</f>
        <v>274.8</v>
      </c>
      <c r="K17" s="489">
        <f>J17/J45</f>
        <v>0.1938</v>
      </c>
    </row>
    <row r="18" spans="1:11" ht="12.75">
      <c r="A18" s="492">
        <v>1</v>
      </c>
      <c r="B18" s="453" t="s">
        <v>66</v>
      </c>
      <c r="C18" s="357">
        <v>1</v>
      </c>
      <c r="D18" s="453" t="s">
        <v>206</v>
      </c>
      <c r="E18" s="476">
        <v>1</v>
      </c>
      <c r="F18" s="471" t="s">
        <v>78</v>
      </c>
      <c r="G18" s="431" t="s">
        <v>207</v>
      </c>
      <c r="H18" s="482">
        <f>(+A18/C18)</f>
        <v>1</v>
      </c>
      <c r="I18" s="693">
        <v>3.8719999999999999</v>
      </c>
      <c r="J18" s="494"/>
      <c r="K18" s="489"/>
    </row>
    <row r="19" spans="1:11" ht="12.75">
      <c r="A19" s="492">
        <v>22</v>
      </c>
      <c r="B19" s="453" t="s">
        <v>208</v>
      </c>
      <c r="C19" s="357">
        <v>8</v>
      </c>
      <c r="D19" s="453" t="s">
        <v>206</v>
      </c>
      <c r="E19" s="476">
        <f>E16</f>
        <v>4</v>
      </c>
      <c r="F19" s="471" t="s">
        <v>82</v>
      </c>
      <c r="G19" s="431" t="s">
        <v>209</v>
      </c>
      <c r="H19" s="476">
        <f>(+A19*C19)</f>
        <v>176</v>
      </c>
      <c r="I19" s="693">
        <v>3.8719999999999999</v>
      </c>
      <c r="J19" s="494">
        <f>(+I19*H19)</f>
        <v>681.47</v>
      </c>
      <c r="K19" s="489">
        <f>J19/J45</f>
        <v>0.48060000000000003</v>
      </c>
    </row>
    <row r="20" spans="1:11" ht="12.75">
      <c r="A20" s="492"/>
      <c r="B20" s="453"/>
      <c r="C20" s="478"/>
      <c r="D20" s="453"/>
      <c r="E20" s="476"/>
      <c r="F20" s="471"/>
      <c r="G20" s="431"/>
      <c r="H20" s="632"/>
      <c r="I20" s="627"/>
      <c r="J20" s="623"/>
      <c r="K20" s="489"/>
    </row>
    <row r="21" spans="1:11" ht="12.75">
      <c r="A21" s="490"/>
      <c r="B21" s="466"/>
      <c r="C21" s="478"/>
      <c r="D21" s="466"/>
      <c r="E21" s="466"/>
      <c r="F21" s="485" t="s">
        <v>85</v>
      </c>
      <c r="G21" s="474" t="s">
        <v>299</v>
      </c>
      <c r="H21" s="624"/>
      <c r="I21" s="627"/>
      <c r="J21" s="623">
        <f>SUM(J16:J20)</f>
        <v>1108.94</v>
      </c>
      <c r="K21" s="489"/>
    </row>
    <row r="22" spans="1:11" ht="12.75">
      <c r="A22" s="490"/>
      <c r="B22" s="466"/>
      <c r="C22" s="478"/>
      <c r="D22" s="466"/>
      <c r="E22" s="525"/>
      <c r="F22" s="485"/>
      <c r="G22" s="625"/>
      <c r="H22" s="626"/>
      <c r="I22" s="627"/>
      <c r="J22" s="628"/>
      <c r="K22" s="489"/>
    </row>
    <row r="23" spans="1:11" ht="12.75">
      <c r="A23" s="353">
        <v>2.5</v>
      </c>
      <c r="B23" s="484" t="s">
        <v>155</v>
      </c>
      <c r="C23" s="478"/>
      <c r="D23" s="453"/>
      <c r="E23" s="525"/>
      <c r="F23" s="485" t="s">
        <v>307</v>
      </c>
      <c r="G23" s="529" t="s">
        <v>302</v>
      </c>
      <c r="H23" s="505">
        <f>A23/100</f>
        <v>2.5000000000000001E-2</v>
      </c>
      <c r="I23" s="530">
        <f>J21</f>
        <v>1108.94</v>
      </c>
      <c r="J23" s="488">
        <f>H23*I23</f>
        <v>27.72</v>
      </c>
      <c r="K23" s="489">
        <f>J23/J45</f>
        <v>1.9599999999999999E-2</v>
      </c>
    </row>
    <row r="24" spans="1:11" ht="12.75">
      <c r="A24" s="470"/>
      <c r="B24" s="466"/>
      <c r="C24" s="495"/>
      <c r="D24" s="466"/>
      <c r="E24" s="466"/>
      <c r="F24" s="466"/>
      <c r="G24" s="466"/>
      <c r="H24" s="466"/>
      <c r="I24" s="495"/>
      <c r="J24" s="506"/>
      <c r="K24" s="489"/>
    </row>
    <row r="25" spans="1:11" ht="12.75">
      <c r="A25" s="459"/>
      <c r="B25" s="460"/>
      <c r="C25" s="462"/>
      <c r="D25" s="460"/>
      <c r="E25" s="460"/>
      <c r="F25" s="497" t="s">
        <v>88</v>
      </c>
      <c r="G25" s="498" t="s">
        <v>308</v>
      </c>
      <c r="H25" s="544"/>
      <c r="I25" s="544"/>
      <c r="J25" s="545">
        <f>SUM(J21:J24)</f>
        <v>1136.6600000000001</v>
      </c>
      <c r="K25" s="515">
        <f>J25/J45</f>
        <v>0.80169999999999997</v>
      </c>
    </row>
    <row r="26" spans="1:11" ht="12.75">
      <c r="A26" s="521"/>
      <c r="B26" s="428"/>
      <c r="C26" s="428"/>
      <c r="D26" s="428"/>
      <c r="E26" s="428"/>
      <c r="F26" s="472"/>
      <c r="G26" s="472"/>
      <c r="H26" s="472"/>
      <c r="I26" s="472"/>
      <c r="J26" s="442"/>
      <c r="K26" s="547"/>
    </row>
    <row r="27" spans="1:11" ht="20.25">
      <c r="A27" s="548" t="s">
        <v>104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09"/>
    </row>
    <row r="28" spans="1:11" ht="20.25">
      <c r="A28" s="521"/>
      <c r="B28" s="428"/>
      <c r="C28" s="428"/>
      <c r="D28" s="428"/>
      <c r="E28" s="428"/>
      <c r="F28" s="428"/>
      <c r="G28" s="473"/>
      <c r="H28" s="428"/>
      <c r="I28" s="428"/>
      <c r="J28" s="428"/>
      <c r="K28" s="412"/>
    </row>
    <row r="29" spans="1:11" ht="12.75">
      <c r="A29" s="538"/>
      <c r="B29" s="448"/>
      <c r="C29" s="447"/>
      <c r="D29" s="447"/>
      <c r="E29" s="447"/>
      <c r="F29" s="551"/>
      <c r="G29" s="552"/>
      <c r="H29" s="456"/>
      <c r="I29" s="449" t="s">
        <v>33</v>
      </c>
      <c r="J29" s="450"/>
      <c r="K29" s="432"/>
    </row>
    <row r="30" spans="1:11" ht="12.75">
      <c r="A30" s="521"/>
      <c r="B30" s="540"/>
      <c r="C30" s="453" t="s">
        <v>44</v>
      </c>
      <c r="D30" s="453" t="s">
        <v>36</v>
      </c>
      <c r="E30" s="453" t="s">
        <v>38</v>
      </c>
      <c r="F30" s="642" t="s">
        <v>39</v>
      </c>
      <c r="G30" s="643"/>
      <c r="H30" s="453" t="s">
        <v>40</v>
      </c>
      <c r="I30" s="453" t="s">
        <v>41</v>
      </c>
      <c r="J30" s="454" t="s">
        <v>42</v>
      </c>
      <c r="K30" s="432"/>
    </row>
    <row r="31" spans="1:11" ht="12.75">
      <c r="A31" s="521"/>
      <c r="B31" s="540"/>
      <c r="C31" s="460"/>
      <c r="D31" s="460"/>
      <c r="E31" s="460"/>
      <c r="F31" s="463"/>
      <c r="G31" s="441"/>
      <c r="H31" s="468"/>
      <c r="I31" s="462" t="s">
        <v>43</v>
      </c>
      <c r="J31" s="463"/>
      <c r="K31" s="553"/>
    </row>
    <row r="32" spans="1:11" ht="12.75">
      <c r="A32" s="521"/>
      <c r="B32" s="540"/>
      <c r="C32" s="466"/>
      <c r="D32" s="466"/>
      <c r="E32" s="471" t="s">
        <v>114</v>
      </c>
      <c r="F32" s="554" t="s">
        <v>202</v>
      </c>
      <c r="G32" s="421"/>
      <c r="H32" s="555"/>
      <c r="I32" s="478">
        <f>J25</f>
        <v>1136.6600000000001</v>
      </c>
      <c r="J32" s="556">
        <f>J25</f>
        <v>1136.6600000000001</v>
      </c>
      <c r="K32" s="432"/>
    </row>
    <row r="33" spans="1:13" ht="12.75">
      <c r="A33" s="521"/>
      <c r="B33" s="540"/>
      <c r="C33" s="493"/>
      <c r="D33" s="453"/>
      <c r="E33" s="471"/>
      <c r="F33" s="529"/>
      <c r="G33" s="546"/>
      <c r="H33" s="477"/>
      <c r="I33" s="495"/>
      <c r="J33" s="494"/>
      <c r="K33" s="489"/>
    </row>
    <row r="34" spans="1:13" ht="12.75">
      <c r="A34" s="521"/>
      <c r="B34" s="540"/>
      <c r="C34" s="179">
        <v>5.5</v>
      </c>
      <c r="D34" s="453" t="s">
        <v>21</v>
      </c>
      <c r="E34" s="471" t="s">
        <v>117</v>
      </c>
      <c r="F34" s="529" t="s">
        <v>106</v>
      </c>
      <c r="G34" s="546"/>
      <c r="H34" s="477">
        <f>(C34/100)</f>
        <v>5.5E-2</v>
      </c>
      <c r="I34" s="495"/>
      <c r="J34" s="494">
        <f>(+J32*H34)</f>
        <v>62.52</v>
      </c>
      <c r="K34" s="489">
        <f>J34/J45</f>
        <v>4.41E-2</v>
      </c>
    </row>
    <row r="35" spans="1:13" ht="12.75">
      <c r="A35" s="521"/>
      <c r="B35" s="540"/>
      <c r="C35" s="478" t="s">
        <v>107</v>
      </c>
      <c r="D35" s="466"/>
      <c r="E35" s="466"/>
      <c r="F35" s="474"/>
      <c r="G35" s="428"/>
      <c r="H35" s="477"/>
      <c r="I35" s="478"/>
      <c r="J35" s="494"/>
      <c r="K35" s="558"/>
      <c r="M35" s="130"/>
    </row>
    <row r="36" spans="1:13" ht="12.75">
      <c r="A36" s="521"/>
      <c r="B36" s="540"/>
      <c r="C36" s="559"/>
      <c r="D36" s="466"/>
      <c r="E36" s="471" t="s">
        <v>120</v>
      </c>
      <c r="F36" s="529" t="s">
        <v>289</v>
      </c>
      <c r="G36" s="428"/>
      <c r="H36" s="477"/>
      <c r="I36" s="495"/>
      <c r="J36" s="494">
        <f>SUM(J32:J34)</f>
        <v>1199.18</v>
      </c>
      <c r="K36" s="489"/>
    </row>
    <row r="37" spans="1:13" ht="12.75">
      <c r="A37" s="521"/>
      <c r="B37" s="540"/>
      <c r="C37" s="478">
        <v>0</v>
      </c>
      <c r="D37" s="453" t="s">
        <v>21</v>
      </c>
      <c r="E37" s="471" t="s">
        <v>121</v>
      </c>
      <c r="F37" s="529" t="s">
        <v>110</v>
      </c>
      <c r="G37" s="546"/>
      <c r="H37" s="477">
        <f>(C37/100)</f>
        <v>0</v>
      </c>
      <c r="I37" s="530">
        <f>J36</f>
        <v>1199.18</v>
      </c>
      <c r="J37" s="494">
        <f>(+J36*H37)</f>
        <v>0</v>
      </c>
      <c r="K37" s="489">
        <f>J37/J45</f>
        <v>0</v>
      </c>
    </row>
    <row r="38" spans="1:13" ht="12.75">
      <c r="A38" s="521"/>
      <c r="B38" s="540"/>
      <c r="C38" s="478" t="s">
        <v>107</v>
      </c>
      <c r="D38" s="466"/>
      <c r="E38" s="466"/>
      <c r="F38" s="474"/>
      <c r="G38" s="428"/>
      <c r="H38" s="477"/>
      <c r="I38" s="478"/>
      <c r="J38" s="494"/>
      <c r="K38" s="558"/>
    </row>
    <row r="39" spans="1:13" ht="12.75">
      <c r="A39" s="521"/>
      <c r="B39" s="540"/>
      <c r="C39" s="478" t="s">
        <v>107</v>
      </c>
      <c r="D39" s="466"/>
      <c r="E39" s="471" t="s">
        <v>122</v>
      </c>
      <c r="F39" s="529" t="s">
        <v>290</v>
      </c>
      <c r="G39" s="428"/>
      <c r="H39" s="477"/>
      <c r="I39" s="495"/>
      <c r="J39" s="494">
        <f>SUM(J36:J37)</f>
        <v>1199.18</v>
      </c>
      <c r="K39" s="558"/>
    </row>
    <row r="40" spans="1:13" ht="12.75">
      <c r="A40" s="521"/>
      <c r="B40" s="540"/>
      <c r="C40" s="179">
        <v>9</v>
      </c>
      <c r="D40" s="453" t="s">
        <v>21</v>
      </c>
      <c r="E40" s="471" t="s">
        <v>123</v>
      </c>
      <c r="F40" s="529" t="s">
        <v>292</v>
      </c>
      <c r="G40" s="546"/>
      <c r="H40" s="477">
        <f>(C40/100)</f>
        <v>0.09</v>
      </c>
      <c r="I40" s="530">
        <f>J39</f>
        <v>1199.18</v>
      </c>
      <c r="J40" s="494">
        <f>(+J39*H40)</f>
        <v>107.93</v>
      </c>
      <c r="K40" s="489">
        <f>J40/J45</f>
        <v>7.6100000000000001E-2</v>
      </c>
    </row>
    <row r="41" spans="1:13" ht="12.75">
      <c r="A41" s="521"/>
      <c r="B41" s="540"/>
      <c r="C41" s="478" t="s">
        <v>107</v>
      </c>
      <c r="D41" s="466"/>
      <c r="E41" s="466"/>
      <c r="F41" s="474"/>
      <c r="G41" s="428"/>
      <c r="H41" s="477"/>
      <c r="I41" s="495"/>
      <c r="J41" s="494"/>
      <c r="K41" s="558"/>
    </row>
    <row r="42" spans="1:13" ht="12.75">
      <c r="A42" s="521"/>
      <c r="B42" s="540"/>
      <c r="C42" s="478" t="s">
        <v>107</v>
      </c>
      <c r="D42" s="466"/>
      <c r="E42" s="471" t="s">
        <v>125</v>
      </c>
      <c r="F42" s="529" t="s">
        <v>128</v>
      </c>
      <c r="G42" s="428"/>
      <c r="H42" s="477"/>
      <c r="I42" s="495"/>
      <c r="J42" s="494">
        <f>SUM(J39:J40)</f>
        <v>1307.1099999999999</v>
      </c>
      <c r="K42" s="558"/>
    </row>
    <row r="43" spans="1:13" ht="12.75">
      <c r="A43" s="521"/>
      <c r="B43" s="540"/>
      <c r="C43" s="197">
        <f>(15%*C40)+(9%*C40)+3.65+2</f>
        <v>7.81</v>
      </c>
      <c r="D43" s="453" t="s">
        <v>21</v>
      </c>
      <c r="E43" s="471" t="s">
        <v>131</v>
      </c>
      <c r="F43" s="529" t="s">
        <v>119</v>
      </c>
      <c r="G43" s="546"/>
      <c r="H43" s="477">
        <f>(C43/100)</f>
        <v>7.8100000000000003E-2</v>
      </c>
      <c r="I43" s="495"/>
      <c r="J43" s="494">
        <f>(+J45*H43)</f>
        <v>110.73</v>
      </c>
      <c r="K43" s="489">
        <f>J43/J45</f>
        <v>7.8100000000000003E-2</v>
      </c>
    </row>
    <row r="44" spans="1:13" ht="12.75">
      <c r="A44" s="521"/>
      <c r="B44" s="540"/>
      <c r="C44" s="478" t="s">
        <v>107</v>
      </c>
      <c r="D44" s="466"/>
      <c r="E44" s="466"/>
      <c r="F44" s="474"/>
      <c r="G44" s="428"/>
      <c r="H44" s="495"/>
      <c r="I44" s="495"/>
      <c r="J44" s="494"/>
      <c r="K44" s="558"/>
    </row>
    <row r="45" spans="1:13" ht="13.5" thickBot="1">
      <c r="A45" s="521"/>
      <c r="B45" s="540"/>
      <c r="C45" s="478" t="s">
        <v>107</v>
      </c>
      <c r="D45" s="466"/>
      <c r="E45" s="586" t="s">
        <v>127</v>
      </c>
      <c r="F45" s="587" t="s">
        <v>291</v>
      </c>
      <c r="G45" s="588"/>
      <c r="H45" s="588"/>
      <c r="I45" s="588"/>
      <c r="J45" s="589">
        <f>J42/(1-H43)</f>
        <v>1417.84</v>
      </c>
      <c r="K45" s="590">
        <f>J45/J45</f>
        <v>1</v>
      </c>
    </row>
    <row r="46" spans="1:13" ht="12.75">
      <c r="A46" s="597" t="s">
        <v>174</v>
      </c>
      <c r="B46" s="598"/>
      <c r="C46" s="598"/>
      <c r="D46" s="598"/>
      <c r="E46" s="599">
        <v>8000</v>
      </c>
      <c r="F46" s="600" t="s">
        <v>175</v>
      </c>
      <c r="G46" s="601"/>
      <c r="H46" s="601"/>
      <c r="I46" s="601"/>
      <c r="J46" s="601"/>
      <c r="K46" s="602"/>
    </row>
    <row r="47" spans="1:13" ht="12.75">
      <c r="A47" s="603" t="s">
        <v>141</v>
      </c>
      <c r="B47" s="425"/>
      <c r="C47" s="425"/>
      <c r="D47" s="425"/>
      <c r="E47" s="604">
        <v>24</v>
      </c>
      <c r="F47" s="605"/>
      <c r="G47" s="417"/>
      <c r="H47" s="417"/>
      <c r="I47" s="417"/>
      <c r="J47" s="417"/>
      <c r="K47" s="606"/>
    </row>
    <row r="48" spans="1:13" ht="13.5" thickBot="1">
      <c r="A48" s="603" t="s">
        <v>176</v>
      </c>
      <c r="B48" s="425"/>
      <c r="C48" s="425"/>
      <c r="D48" s="425"/>
      <c r="E48" s="604">
        <f>E46*E47</f>
        <v>192000</v>
      </c>
      <c r="F48" s="607" t="s">
        <v>175</v>
      </c>
      <c r="G48" s="417"/>
      <c r="H48" s="417"/>
      <c r="I48" s="417"/>
      <c r="J48" s="417"/>
      <c r="K48" s="606"/>
    </row>
    <row r="49" spans="1:14" ht="20.25" thickBot="1">
      <c r="A49" s="608" t="s">
        <v>210</v>
      </c>
      <c r="B49" s="609"/>
      <c r="C49" s="609"/>
      <c r="D49" s="609"/>
      <c r="E49" s="610"/>
      <c r="F49" s="611">
        <f>J45</f>
        <v>1417.84</v>
      </c>
      <c r="G49" s="612" t="s">
        <v>295</v>
      </c>
      <c r="H49" s="610"/>
      <c r="I49" s="610"/>
      <c r="J49" s="634">
        <f>J45/E48</f>
        <v>7.0000000000000001E-3</v>
      </c>
      <c r="K49" s="614"/>
      <c r="N49" s="130"/>
    </row>
    <row r="51" spans="1:14" ht="15.75">
      <c r="A51" s="30" t="s">
        <v>135</v>
      </c>
    </row>
    <row r="52" spans="1:14" ht="15">
      <c r="H52" s="11"/>
      <c r="I52" s="11"/>
    </row>
    <row r="53" spans="1:14" ht="15.75">
      <c r="A53" s="30" t="str">
        <f>'Ônibus Equipe Capina'!A71</f>
        <v>Patos de Minas-MG, 01 de novembro de 2016</v>
      </c>
      <c r="G53" s="13"/>
      <c r="H53" s="11"/>
      <c r="I53" s="11"/>
    </row>
    <row r="55" spans="1:14" ht="12.75" thickBot="1">
      <c r="E55" s="694"/>
      <c r="F55" s="694"/>
      <c r="G55" s="694"/>
      <c r="H55" s="694"/>
    </row>
    <row r="56" spans="1:14" ht="12.75" thickTop="1">
      <c r="A56" s="13"/>
      <c r="E56" s="1" t="s">
        <v>346</v>
      </c>
    </row>
    <row r="57" spans="1:14">
      <c r="E57" s="1" t="s">
        <v>347</v>
      </c>
    </row>
    <row r="60" spans="1:14">
      <c r="A60" s="217"/>
      <c r="B60" s="217"/>
      <c r="C60" s="217"/>
      <c r="D60" s="217"/>
      <c r="E60" s="217"/>
      <c r="F60" s="217"/>
      <c r="G60" s="217"/>
      <c r="H60" s="217"/>
      <c r="I60" s="217"/>
      <c r="J60" s="217"/>
    </row>
    <row r="84" ht="2.25" customHeight="1"/>
    <row r="85" ht="12.75" customHeight="1"/>
    <row r="86" ht="0.75" customHeight="1"/>
    <row r="111" spans="12:12" ht="12.75">
      <c r="L111" s="218"/>
    </row>
    <row r="112" spans="12:12" ht="12.75">
      <c r="L112" s="218"/>
    </row>
    <row r="113" spans="1:12" ht="12.75">
      <c r="L113" s="218"/>
    </row>
    <row r="114" spans="1:12" ht="12.75">
      <c r="L114" s="218"/>
    </row>
    <row r="115" spans="1:12" ht="12.75">
      <c r="L115" s="2"/>
    </row>
    <row r="116" spans="1:12" ht="12.75">
      <c r="A116" s="218"/>
      <c r="B116" s="218"/>
      <c r="C116" s="218"/>
      <c r="D116" s="218"/>
      <c r="E116" s="222"/>
      <c r="F116" s="222"/>
      <c r="G116" s="222"/>
      <c r="H116" s="222"/>
      <c r="I116" s="222"/>
      <c r="J116" s="222"/>
      <c r="K116" s="222"/>
    </row>
    <row r="117" spans="1:12" ht="12.75">
      <c r="A117" s="218"/>
      <c r="B117" s="218"/>
      <c r="C117" s="218"/>
      <c r="D117" s="218"/>
      <c r="E117" s="218"/>
      <c r="F117" s="218"/>
      <c r="G117" s="218"/>
      <c r="H117" s="218"/>
      <c r="I117" s="218"/>
      <c r="J117" s="223"/>
      <c r="K117" s="223"/>
      <c r="L117" s="130"/>
    </row>
    <row r="118" spans="1:12" ht="12.7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1:12" ht="12.75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</row>
    <row r="120" spans="1:12" ht="12.75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2" ht="12.75">
      <c r="A121" s="218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  <row r="122" spans="1:12" ht="12.75">
      <c r="A122" s="2"/>
      <c r="B122" s="2"/>
      <c r="C122" s="2"/>
      <c r="D122" s="2"/>
      <c r="E122" s="224"/>
      <c r="F122" s="2"/>
      <c r="G122" s="2"/>
      <c r="H122" s="2"/>
      <c r="I122" s="2"/>
      <c r="J122" s="2"/>
      <c r="K122" s="2"/>
      <c r="L122" s="4"/>
    </row>
    <row r="123" spans="1:12" ht="12.75">
      <c r="A123" s="2"/>
      <c r="B123" s="2"/>
      <c r="C123" s="2"/>
      <c r="D123" s="2"/>
      <c r="E123" s="225"/>
      <c r="F123" s="225"/>
      <c r="G123" s="225"/>
      <c r="H123" s="225"/>
      <c r="I123" s="2"/>
      <c r="J123" s="2"/>
      <c r="K123" s="2"/>
      <c r="L123" s="4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1:12" ht="12.75">
      <c r="A125" s="225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5"/>
      <c r="C128" s="2"/>
      <c r="D128" s="221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5"/>
      <c r="C131" s="2"/>
      <c r="D131" s="221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6"/>
      <c r="C134" s="4"/>
      <c r="D134" s="226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4"/>
    </row>
    <row r="138" spans="1:12">
      <c r="A138" s="4"/>
      <c r="B138" s="4"/>
      <c r="C138" s="6"/>
      <c r="D138" s="4"/>
      <c r="E138" s="4"/>
      <c r="F138" s="4"/>
      <c r="G138" s="227"/>
      <c r="H138" s="227"/>
      <c r="L138" s="4"/>
    </row>
    <row r="139" spans="1:12">
      <c r="A139" s="7"/>
      <c r="B139" s="7"/>
      <c r="C139" s="7"/>
      <c r="D139" s="7"/>
      <c r="E139" s="7"/>
      <c r="F139" s="7"/>
      <c r="G139" s="7"/>
      <c r="H139" s="7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L140" s="4"/>
    </row>
    <row r="141" spans="1:12">
      <c r="A141" s="4"/>
      <c r="B141" s="4"/>
      <c r="C141" s="4"/>
      <c r="D141" s="4"/>
      <c r="E141" s="4"/>
      <c r="F141" s="4"/>
      <c r="G141" s="4"/>
      <c r="H141" s="4"/>
      <c r="L141" s="4"/>
    </row>
    <row r="142" spans="1:12">
      <c r="B142" s="228"/>
      <c r="C142" s="229"/>
      <c r="G142" s="230"/>
      <c r="H142" s="229"/>
      <c r="L142" s="4"/>
    </row>
    <row r="143" spans="1:12">
      <c r="G143" s="231"/>
      <c r="L143" s="4"/>
    </row>
    <row r="144" spans="1:12">
      <c r="G144" s="231"/>
      <c r="L144" s="4"/>
    </row>
    <row r="145" spans="1:12">
      <c r="B145" s="228"/>
      <c r="C145" s="229"/>
      <c r="G145" s="230"/>
      <c r="H145" s="229"/>
      <c r="L145" s="4"/>
    </row>
    <row r="146" spans="1:12">
      <c r="G146" s="20"/>
      <c r="L146" s="4"/>
    </row>
    <row r="147" spans="1:12">
      <c r="G147" s="20"/>
      <c r="L147" s="4"/>
    </row>
    <row r="148" spans="1:12">
      <c r="B148" s="3"/>
      <c r="C148" s="232"/>
      <c r="G148" s="230"/>
      <c r="H148" s="229"/>
      <c r="L148" s="4"/>
    </row>
    <row r="149" spans="1:12">
      <c r="G149" s="20"/>
      <c r="L149" s="4"/>
    </row>
    <row r="150" spans="1:12">
      <c r="G150" s="20"/>
      <c r="L150" s="4"/>
    </row>
    <row r="151" spans="1:12">
      <c r="B151" s="3"/>
      <c r="C151" s="233"/>
      <c r="G151" s="230"/>
      <c r="H151" s="234"/>
      <c r="L151" s="4"/>
    </row>
    <row r="152" spans="1:12">
      <c r="J152" s="4"/>
      <c r="K152" s="4"/>
      <c r="L152" s="4"/>
    </row>
    <row r="153" spans="1:12">
      <c r="A153" s="235"/>
      <c r="B153" s="235"/>
      <c r="C153" s="235"/>
      <c r="D153" s="235"/>
      <c r="E153" s="235"/>
      <c r="F153" s="235"/>
      <c r="G153" s="235"/>
      <c r="H153" s="235"/>
      <c r="I153" s="235"/>
      <c r="J153" s="7"/>
      <c r="K153" s="7"/>
      <c r="L153" s="4"/>
    </row>
    <row r="154" spans="1:12">
      <c r="J154" s="4"/>
      <c r="K154" s="4"/>
      <c r="L154" s="4"/>
    </row>
    <row r="155" spans="1:12">
      <c r="B155" s="228"/>
      <c r="D155" s="234"/>
      <c r="J155" s="4"/>
      <c r="K155" s="4"/>
      <c r="L155" s="4"/>
    </row>
    <row r="156" spans="1:12">
      <c r="J156" s="4"/>
      <c r="K156" s="4"/>
      <c r="L156" s="4"/>
    </row>
    <row r="157" spans="1:12">
      <c r="A157" s="235"/>
      <c r="B157" s="235"/>
      <c r="C157" s="235"/>
      <c r="D157" s="235"/>
      <c r="E157" s="235"/>
      <c r="F157" s="235"/>
      <c r="G157" s="235"/>
      <c r="H157" s="235"/>
      <c r="I157" s="235"/>
      <c r="J157" s="7"/>
      <c r="K157" s="7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</sheetData>
  <mergeCells count="3">
    <mergeCell ref="A1:K1"/>
    <mergeCell ref="A5:J5"/>
    <mergeCell ref="F30:G30"/>
  </mergeCells>
  <phoneticPr fontId="35" type="noConversion"/>
  <printOptions horizontalCentered="1"/>
  <pageMargins left="0.59055118110236227" right="0" top="1.1811023622047245" bottom="0.19685039370078741" header="0.31496062992125984" footer="0.31496062992125984"/>
  <pageSetup paperSize="9" scale="65" orientation="portrait" r:id="rId1"/>
  <headerFooter alignWithMargins="0">
    <oddHeader>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8"/>
  <sheetViews>
    <sheetView topLeftCell="A25" workbookViewId="0">
      <selection activeCell="F52" sqref="F52:I54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1.375" style="1" customWidth="1"/>
    <col min="8" max="8" width="13.125" style="1" customWidth="1"/>
    <col min="9" max="9" width="13" style="1" customWidth="1"/>
    <col min="10" max="10" width="12.375" style="1" customWidth="1"/>
    <col min="11" max="11" width="8" style="1" customWidth="1"/>
    <col min="12" max="12" width="0.875" style="1" customWidth="1"/>
    <col min="13" max="16384" width="11" style="1"/>
  </cols>
  <sheetData>
    <row r="1" spans="1:11" ht="22.5" customHeight="1" thickBot="1">
      <c r="A1" s="653" t="s">
        <v>195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 ht="20.25">
      <c r="A2" s="400" t="s">
        <v>143</v>
      </c>
      <c r="B2" s="401"/>
      <c r="C2" s="402"/>
      <c r="D2" s="401"/>
      <c r="E2" s="401"/>
      <c r="F2" s="401"/>
      <c r="G2" s="403"/>
      <c r="H2" s="401"/>
      <c r="I2" s="401"/>
      <c r="J2" s="631"/>
      <c r="K2" s="404"/>
    </row>
    <row r="3" spans="1:11" ht="20.25">
      <c r="A3" s="409" t="s">
        <v>144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</row>
    <row r="4" spans="1:1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</row>
    <row r="5" spans="1:11" ht="20.25">
      <c r="A5" s="656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</row>
    <row r="6" spans="1:11" ht="12.75">
      <c r="A6" s="635"/>
      <c r="B6" s="425"/>
      <c r="C6" s="425"/>
      <c r="D6" s="425"/>
      <c r="E6" s="431"/>
      <c r="F6" s="425"/>
      <c r="G6" s="425"/>
      <c r="H6" s="425"/>
      <c r="I6" s="425"/>
      <c r="J6" s="425"/>
      <c r="K6" s="430"/>
    </row>
    <row r="7" spans="1:11" ht="12.75">
      <c r="A7" s="424" t="s">
        <v>196</v>
      </c>
      <c r="B7" s="425"/>
      <c r="C7" s="425"/>
      <c r="D7" s="425"/>
      <c r="E7" s="425"/>
      <c r="F7" s="425"/>
      <c r="G7" s="425"/>
      <c r="H7" s="425"/>
      <c r="I7" s="425"/>
      <c r="J7" s="425"/>
      <c r="K7" s="432"/>
    </row>
    <row r="8" spans="1:11" ht="12.75">
      <c r="A8" s="424"/>
      <c r="B8" s="425"/>
      <c r="C8" s="425"/>
      <c r="D8" s="425"/>
      <c r="E8" s="425"/>
      <c r="F8" s="425"/>
      <c r="G8" s="425"/>
      <c r="H8" s="425"/>
      <c r="I8" s="435"/>
      <c r="J8" s="425"/>
      <c r="K8" s="432"/>
    </row>
    <row r="9" spans="1:11" ht="15.75">
      <c r="A9" s="424" t="s">
        <v>29</v>
      </c>
      <c r="B9" s="426" t="s">
        <v>30</v>
      </c>
      <c r="C9" s="425"/>
      <c r="D9" s="425"/>
      <c r="E9" s="425"/>
      <c r="F9" s="425"/>
      <c r="G9" s="425"/>
      <c r="H9" s="425"/>
      <c r="I9" s="435"/>
      <c r="J9" s="425"/>
      <c r="K9" s="432"/>
    </row>
    <row r="10" spans="1:11" ht="12.75">
      <c r="A10" s="424"/>
      <c r="B10" s="425"/>
      <c r="C10" s="445"/>
      <c r="D10" s="425"/>
      <c r="E10" s="425"/>
      <c r="F10" s="425"/>
      <c r="G10" s="425"/>
      <c r="H10" s="425"/>
      <c r="I10" s="425"/>
      <c r="J10" s="425"/>
      <c r="K10" s="432"/>
    </row>
    <row r="11" spans="1:11" ht="12.75">
      <c r="A11" s="436"/>
      <c r="B11" s="451"/>
      <c r="C11" s="438"/>
      <c r="D11" s="451"/>
      <c r="E11" s="439"/>
      <c r="F11" s="440"/>
      <c r="G11" s="441"/>
      <c r="H11" s="441"/>
      <c r="I11" s="441"/>
      <c r="J11" s="441"/>
      <c r="K11" s="432"/>
    </row>
    <row r="12" spans="1:11" ht="12.75">
      <c r="A12" s="455"/>
      <c r="B12" s="456"/>
      <c r="C12" s="456"/>
      <c r="D12" s="456"/>
      <c r="E12" s="456"/>
      <c r="F12" s="456"/>
      <c r="G12" s="456"/>
      <c r="H12" s="456"/>
      <c r="I12" s="449" t="s">
        <v>33</v>
      </c>
      <c r="J12" s="457"/>
      <c r="K12" s="458"/>
    </row>
    <row r="13" spans="1:11" ht="12.75">
      <c r="A13" s="452" t="s">
        <v>44</v>
      </c>
      <c r="B13" s="453" t="s">
        <v>36</v>
      </c>
      <c r="C13" s="453" t="s">
        <v>45</v>
      </c>
      <c r="D13" s="453" t="s">
        <v>36</v>
      </c>
      <c r="E13" s="453" t="s">
        <v>35</v>
      </c>
      <c r="F13" s="453" t="s">
        <v>38</v>
      </c>
      <c r="G13" s="453" t="s">
        <v>39</v>
      </c>
      <c r="H13" s="453" t="s">
        <v>40</v>
      </c>
      <c r="I13" s="453" t="s">
        <v>41</v>
      </c>
      <c r="J13" s="454" t="s">
        <v>42</v>
      </c>
      <c r="K13" s="465"/>
    </row>
    <row r="14" spans="1:11" ht="12.75">
      <c r="A14" s="467"/>
      <c r="B14" s="468"/>
      <c r="C14" s="468"/>
      <c r="D14" s="468"/>
      <c r="E14" s="468"/>
      <c r="F14" s="468"/>
      <c r="G14" s="468"/>
      <c r="H14" s="468"/>
      <c r="I14" s="462" t="s">
        <v>43</v>
      </c>
      <c r="J14" s="469"/>
      <c r="K14" s="458"/>
    </row>
    <row r="15" spans="1:11" ht="12.75">
      <c r="A15" s="470"/>
      <c r="B15" s="466"/>
      <c r="C15" s="466"/>
      <c r="D15" s="466"/>
      <c r="E15" s="466"/>
      <c r="F15" s="466"/>
      <c r="G15" s="466"/>
      <c r="H15" s="466"/>
      <c r="I15" s="466"/>
      <c r="J15" s="474"/>
      <c r="K15" s="432"/>
    </row>
    <row r="16" spans="1:11" ht="12.75">
      <c r="A16" s="356">
        <v>2</v>
      </c>
      <c r="B16" s="453" t="s">
        <v>159</v>
      </c>
      <c r="C16" s="357">
        <v>6</v>
      </c>
      <c r="D16" s="453" t="s">
        <v>56</v>
      </c>
      <c r="E16" s="476">
        <v>12</v>
      </c>
      <c r="F16" s="471" t="s">
        <v>58</v>
      </c>
      <c r="G16" s="471" t="s">
        <v>197</v>
      </c>
      <c r="H16" s="476">
        <f t="shared" ref="H16:H21" si="0">E16</f>
        <v>12</v>
      </c>
      <c r="I16" s="197">
        <v>15.91</v>
      </c>
      <c r="J16" s="494">
        <f t="shared" ref="J16:J21" si="1">(+I16*H16)*A16/C16</f>
        <v>63.64</v>
      </c>
      <c r="K16" s="489">
        <f t="shared" ref="K16:K21" si="2">J16/J$47</f>
        <v>2.7E-2</v>
      </c>
    </row>
    <row r="17" spans="1:11" ht="12.75">
      <c r="A17" s="356">
        <v>1</v>
      </c>
      <c r="B17" s="453" t="s">
        <v>159</v>
      </c>
      <c r="C17" s="357">
        <v>12</v>
      </c>
      <c r="D17" s="453" t="s">
        <v>56</v>
      </c>
      <c r="E17" s="476">
        <f>E16</f>
        <v>12</v>
      </c>
      <c r="F17" s="471" t="s">
        <v>69</v>
      </c>
      <c r="G17" s="471" t="s">
        <v>198</v>
      </c>
      <c r="H17" s="476">
        <f t="shared" si="0"/>
        <v>12</v>
      </c>
      <c r="I17" s="197">
        <v>19.899999999999999</v>
      </c>
      <c r="J17" s="494">
        <f t="shared" si="1"/>
        <v>19.899999999999999</v>
      </c>
      <c r="K17" s="489">
        <f t="shared" si="2"/>
        <v>8.3999999999999995E-3</v>
      </c>
    </row>
    <row r="18" spans="1:11" ht="12.75">
      <c r="A18" s="356">
        <v>4</v>
      </c>
      <c r="B18" s="453" t="s">
        <v>159</v>
      </c>
      <c r="C18" s="357">
        <v>6</v>
      </c>
      <c r="D18" s="453" t="s">
        <v>56</v>
      </c>
      <c r="E18" s="476">
        <f>E17</f>
        <v>12</v>
      </c>
      <c r="F18" s="471" t="s">
        <v>78</v>
      </c>
      <c r="G18" s="471" t="s">
        <v>199</v>
      </c>
      <c r="H18" s="476">
        <f t="shared" si="0"/>
        <v>12</v>
      </c>
      <c r="I18" s="197">
        <v>9.14</v>
      </c>
      <c r="J18" s="494">
        <f t="shared" si="1"/>
        <v>73.12</v>
      </c>
      <c r="K18" s="489">
        <f t="shared" si="2"/>
        <v>3.1E-2</v>
      </c>
    </row>
    <row r="19" spans="1:11" ht="12.75">
      <c r="A19" s="356">
        <v>6</v>
      </c>
      <c r="B19" s="453" t="s">
        <v>159</v>
      </c>
      <c r="C19" s="357">
        <v>1</v>
      </c>
      <c r="D19" s="453" t="s">
        <v>56</v>
      </c>
      <c r="E19" s="476">
        <f>E18</f>
        <v>12</v>
      </c>
      <c r="F19" s="471" t="s">
        <v>82</v>
      </c>
      <c r="G19" s="471" t="s">
        <v>200</v>
      </c>
      <c r="H19" s="476">
        <f t="shared" si="0"/>
        <v>12</v>
      </c>
      <c r="I19" s="197">
        <v>4.8</v>
      </c>
      <c r="J19" s="494">
        <f t="shared" si="1"/>
        <v>345.6</v>
      </c>
      <c r="K19" s="489">
        <f t="shared" si="2"/>
        <v>0.1464</v>
      </c>
    </row>
    <row r="20" spans="1:11" ht="12.75">
      <c r="A20" s="356">
        <v>6</v>
      </c>
      <c r="B20" s="453" t="s">
        <v>159</v>
      </c>
      <c r="C20" s="357">
        <v>1</v>
      </c>
      <c r="D20" s="453" t="s">
        <v>56</v>
      </c>
      <c r="E20" s="476">
        <f>E19</f>
        <v>12</v>
      </c>
      <c r="F20" s="471" t="s">
        <v>85</v>
      </c>
      <c r="G20" s="471" t="s">
        <v>328</v>
      </c>
      <c r="H20" s="476">
        <f t="shared" si="0"/>
        <v>12</v>
      </c>
      <c r="I20" s="197">
        <v>3.5</v>
      </c>
      <c r="J20" s="494">
        <f t="shared" si="1"/>
        <v>252</v>
      </c>
      <c r="K20" s="489">
        <f t="shared" si="2"/>
        <v>0.10680000000000001</v>
      </c>
    </row>
    <row r="21" spans="1:11" ht="12.75">
      <c r="A21" s="356">
        <v>24</v>
      </c>
      <c r="B21" s="453" t="s">
        <v>159</v>
      </c>
      <c r="C21" s="357">
        <v>1</v>
      </c>
      <c r="D21" s="453" t="s">
        <v>56</v>
      </c>
      <c r="E21" s="476">
        <f>E16</f>
        <v>12</v>
      </c>
      <c r="F21" s="471" t="s">
        <v>88</v>
      </c>
      <c r="G21" s="471" t="s">
        <v>201</v>
      </c>
      <c r="H21" s="476">
        <f t="shared" si="0"/>
        <v>12</v>
      </c>
      <c r="I21" s="197">
        <v>3.79</v>
      </c>
      <c r="J21" s="494">
        <f t="shared" si="1"/>
        <v>1091.52</v>
      </c>
      <c r="K21" s="489">
        <f t="shared" si="2"/>
        <v>0.46250000000000002</v>
      </c>
    </row>
    <row r="22" spans="1:11" ht="12.75">
      <c r="A22" s="492"/>
      <c r="B22" s="453"/>
      <c r="C22" s="478"/>
      <c r="D22" s="453"/>
      <c r="E22" s="476"/>
      <c r="F22" s="471"/>
      <c r="G22" s="471"/>
      <c r="H22" s="632"/>
      <c r="I22" s="627"/>
      <c r="J22" s="623"/>
      <c r="K22" s="489"/>
    </row>
    <row r="23" spans="1:11" ht="12.75">
      <c r="A23" s="490"/>
      <c r="B23" s="466"/>
      <c r="C23" s="478"/>
      <c r="D23" s="466"/>
      <c r="E23" s="466"/>
      <c r="F23" s="485" t="s">
        <v>93</v>
      </c>
      <c r="G23" s="474" t="s">
        <v>299</v>
      </c>
      <c r="H23" s="624"/>
      <c r="I23" s="627"/>
      <c r="J23" s="623">
        <f>SUM(J16:J21)</f>
        <v>1845.78</v>
      </c>
      <c r="K23" s="489"/>
    </row>
    <row r="24" spans="1:11" ht="12.75">
      <c r="A24" s="490"/>
      <c r="B24" s="466"/>
      <c r="C24" s="478"/>
      <c r="D24" s="466"/>
      <c r="E24" s="525"/>
      <c r="F24" s="485"/>
      <c r="G24" s="625"/>
      <c r="H24" s="626"/>
      <c r="I24" s="627"/>
      <c r="J24" s="628"/>
      <c r="K24" s="489"/>
    </row>
    <row r="25" spans="1:11" ht="12.75">
      <c r="A25" s="353">
        <v>2.5</v>
      </c>
      <c r="B25" s="484" t="s">
        <v>155</v>
      </c>
      <c r="C25" s="478"/>
      <c r="D25" s="453"/>
      <c r="E25" s="525"/>
      <c r="F25" s="485" t="s">
        <v>300</v>
      </c>
      <c r="G25" s="529" t="s">
        <v>302</v>
      </c>
      <c r="H25" s="505">
        <f>A25/100</f>
        <v>2.5000000000000001E-2</v>
      </c>
      <c r="I25" s="530">
        <f>J23</f>
        <v>1845.78</v>
      </c>
      <c r="J25" s="488">
        <f>H25*I25</f>
        <v>46.14</v>
      </c>
      <c r="K25" s="489">
        <f>J25/J$47</f>
        <v>1.9599999999999999E-2</v>
      </c>
    </row>
    <row r="26" spans="1:11" ht="12.75">
      <c r="A26" s="470"/>
      <c r="B26" s="466"/>
      <c r="C26" s="495"/>
      <c r="D26" s="466"/>
      <c r="E26" s="466"/>
      <c r="F26" s="466"/>
      <c r="G26" s="466"/>
      <c r="H26" s="466"/>
      <c r="I26" s="495"/>
      <c r="J26" s="506"/>
      <c r="K26" s="489"/>
    </row>
    <row r="27" spans="1:11" ht="12.75">
      <c r="A27" s="459"/>
      <c r="B27" s="460"/>
      <c r="C27" s="462"/>
      <c r="D27" s="460"/>
      <c r="E27" s="460"/>
      <c r="F27" s="497" t="s">
        <v>100</v>
      </c>
      <c r="G27" s="498" t="s">
        <v>301</v>
      </c>
      <c r="H27" s="544"/>
      <c r="I27" s="544"/>
      <c r="J27" s="545">
        <f>SUM(J23:J25)</f>
        <v>1891.92</v>
      </c>
      <c r="K27" s="515">
        <f>J27/J$47</f>
        <v>0.80169999999999997</v>
      </c>
    </row>
    <row r="28" spans="1:11" ht="12.75">
      <c r="A28" s="521"/>
      <c r="B28" s="428"/>
      <c r="C28" s="428"/>
      <c r="D28" s="428"/>
      <c r="E28" s="428"/>
      <c r="F28" s="472"/>
      <c r="G28" s="472"/>
      <c r="H28" s="472"/>
      <c r="I28" s="472"/>
      <c r="J28" s="442"/>
      <c r="K28" s="547"/>
    </row>
    <row r="29" spans="1:11" ht="20.25">
      <c r="A29" s="548" t="s">
        <v>104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09"/>
    </row>
    <row r="30" spans="1:11" ht="20.25">
      <c r="A30" s="521"/>
      <c r="B30" s="428"/>
      <c r="C30" s="428"/>
      <c r="D30" s="428"/>
      <c r="E30" s="428"/>
      <c r="F30" s="428"/>
      <c r="G30" s="473"/>
      <c r="H30" s="428"/>
      <c r="I30" s="428"/>
      <c r="J30" s="428"/>
      <c r="K30" s="412"/>
    </row>
    <row r="31" spans="1:11" ht="12.75">
      <c r="A31" s="538"/>
      <c r="B31" s="448"/>
      <c r="C31" s="447"/>
      <c r="D31" s="447"/>
      <c r="E31" s="447"/>
      <c r="F31" s="551"/>
      <c r="G31" s="552"/>
      <c r="H31" s="456"/>
      <c r="I31" s="449" t="s">
        <v>33</v>
      </c>
      <c r="J31" s="450"/>
      <c r="K31" s="432"/>
    </row>
    <row r="32" spans="1:11" ht="12.75">
      <c r="A32" s="521"/>
      <c r="B32" s="540"/>
      <c r="C32" s="453" t="s">
        <v>44</v>
      </c>
      <c r="D32" s="453" t="s">
        <v>36</v>
      </c>
      <c r="E32" s="453" t="s">
        <v>38</v>
      </c>
      <c r="F32" s="642" t="s">
        <v>39</v>
      </c>
      <c r="G32" s="643"/>
      <c r="H32" s="453" t="s">
        <v>40</v>
      </c>
      <c r="I32" s="453" t="s">
        <v>41</v>
      </c>
      <c r="J32" s="454" t="s">
        <v>42</v>
      </c>
      <c r="K32" s="432"/>
    </row>
    <row r="33" spans="1:13" ht="12.75">
      <c r="A33" s="521"/>
      <c r="B33" s="540"/>
      <c r="C33" s="460"/>
      <c r="D33" s="460"/>
      <c r="E33" s="460"/>
      <c r="F33" s="463"/>
      <c r="G33" s="441"/>
      <c r="H33" s="468"/>
      <c r="I33" s="462" t="s">
        <v>43</v>
      </c>
      <c r="J33" s="463"/>
      <c r="K33" s="553"/>
    </row>
    <row r="34" spans="1:13" ht="12.75">
      <c r="A34" s="521"/>
      <c r="B34" s="540"/>
      <c r="C34" s="466"/>
      <c r="D34" s="466"/>
      <c r="E34" s="471" t="s">
        <v>114</v>
      </c>
      <c r="F34" s="554" t="s">
        <v>115</v>
      </c>
      <c r="G34" s="421"/>
      <c r="H34" s="555"/>
      <c r="I34" s="478">
        <f>J27</f>
        <v>1891.92</v>
      </c>
      <c r="J34" s="556">
        <f>J27</f>
        <v>1891.92</v>
      </c>
      <c r="K34" s="432"/>
    </row>
    <row r="35" spans="1:13" ht="12.75">
      <c r="A35" s="521"/>
      <c r="B35" s="540"/>
      <c r="C35" s="493"/>
      <c r="D35" s="453"/>
      <c r="E35" s="471"/>
      <c r="F35" s="529"/>
      <c r="G35" s="546"/>
      <c r="H35" s="477"/>
      <c r="I35" s="495"/>
      <c r="J35" s="494"/>
      <c r="K35" s="489"/>
    </row>
    <row r="36" spans="1:13" ht="12.75">
      <c r="A36" s="521"/>
      <c r="B36" s="540"/>
      <c r="C36" s="179">
        <v>5.5</v>
      </c>
      <c r="D36" s="453" t="s">
        <v>21</v>
      </c>
      <c r="E36" s="471" t="s">
        <v>117</v>
      </c>
      <c r="F36" s="529" t="s">
        <v>106</v>
      </c>
      <c r="G36" s="546"/>
      <c r="H36" s="477">
        <f>(C36/100)</f>
        <v>5.5E-2</v>
      </c>
      <c r="I36" s="495"/>
      <c r="J36" s="494">
        <f>(+J34*H36)</f>
        <v>104.06</v>
      </c>
      <c r="K36" s="489">
        <f>J36/J47</f>
        <v>4.41E-2</v>
      </c>
    </row>
    <row r="37" spans="1:13" ht="12.75">
      <c r="A37" s="521"/>
      <c r="B37" s="540"/>
      <c r="C37" s="478" t="s">
        <v>107</v>
      </c>
      <c r="D37" s="466"/>
      <c r="E37" s="466"/>
      <c r="F37" s="474"/>
      <c r="G37" s="428"/>
      <c r="H37" s="477"/>
      <c r="I37" s="478"/>
      <c r="J37" s="494"/>
      <c r="K37" s="558"/>
      <c r="M37" s="130"/>
    </row>
    <row r="38" spans="1:13" ht="12.75">
      <c r="A38" s="521"/>
      <c r="B38" s="540"/>
      <c r="C38" s="559"/>
      <c r="D38" s="466"/>
      <c r="E38" s="471" t="s">
        <v>120</v>
      </c>
      <c r="F38" s="529" t="s">
        <v>289</v>
      </c>
      <c r="G38" s="428"/>
      <c r="H38" s="477"/>
      <c r="I38" s="495"/>
      <c r="J38" s="494">
        <f>SUM(J34:J36)</f>
        <v>1995.98</v>
      </c>
      <c r="K38" s="489"/>
    </row>
    <row r="39" spans="1:13" ht="12.75">
      <c r="A39" s="521"/>
      <c r="B39" s="540"/>
      <c r="C39" s="478">
        <v>0</v>
      </c>
      <c r="D39" s="453" t="s">
        <v>21</v>
      </c>
      <c r="E39" s="471" t="s">
        <v>121</v>
      </c>
      <c r="F39" s="529" t="s">
        <v>110</v>
      </c>
      <c r="G39" s="546"/>
      <c r="H39" s="477">
        <f>(C39/100)</f>
        <v>0</v>
      </c>
      <c r="I39" s="530">
        <f>J38</f>
        <v>1995.98</v>
      </c>
      <c r="J39" s="494">
        <f>(+J38*H39)</f>
        <v>0</v>
      </c>
      <c r="K39" s="489">
        <f>J39/J47</f>
        <v>0</v>
      </c>
    </row>
    <row r="40" spans="1:13" ht="12.75">
      <c r="A40" s="521"/>
      <c r="B40" s="540"/>
      <c r="C40" s="478" t="s">
        <v>107</v>
      </c>
      <c r="D40" s="466"/>
      <c r="E40" s="466"/>
      <c r="F40" s="474"/>
      <c r="G40" s="428"/>
      <c r="H40" s="477"/>
      <c r="I40" s="478"/>
      <c r="J40" s="494"/>
      <c r="K40" s="558"/>
    </row>
    <row r="41" spans="1:13" ht="12.75">
      <c r="A41" s="521"/>
      <c r="B41" s="540"/>
      <c r="C41" s="478" t="s">
        <v>107</v>
      </c>
      <c r="D41" s="466"/>
      <c r="E41" s="471" t="s">
        <v>122</v>
      </c>
      <c r="F41" s="529" t="s">
        <v>290</v>
      </c>
      <c r="G41" s="428"/>
      <c r="H41" s="477"/>
      <c r="I41" s="495"/>
      <c r="J41" s="494">
        <f>SUM(J38:J39)</f>
        <v>1995.98</v>
      </c>
      <c r="K41" s="558"/>
    </row>
    <row r="42" spans="1:13" ht="12.75">
      <c r="A42" s="521"/>
      <c r="B42" s="540"/>
      <c r="C42" s="179">
        <v>9</v>
      </c>
      <c r="D42" s="453" t="s">
        <v>21</v>
      </c>
      <c r="E42" s="471" t="s">
        <v>123</v>
      </c>
      <c r="F42" s="529" t="s">
        <v>292</v>
      </c>
      <c r="G42" s="546"/>
      <c r="H42" s="477">
        <f>(C42/100)</f>
        <v>0.09</v>
      </c>
      <c r="I42" s="530">
        <f>J41</f>
        <v>1995.98</v>
      </c>
      <c r="J42" s="494">
        <f>(+J41*H42)</f>
        <v>179.64</v>
      </c>
      <c r="K42" s="489">
        <f>J42/J47</f>
        <v>7.6100000000000001E-2</v>
      </c>
    </row>
    <row r="43" spans="1:13" ht="12.75">
      <c r="A43" s="521"/>
      <c r="B43" s="540"/>
      <c r="C43" s="478" t="s">
        <v>107</v>
      </c>
      <c r="D43" s="466"/>
      <c r="E43" s="466"/>
      <c r="F43" s="474"/>
      <c r="G43" s="428"/>
      <c r="H43" s="477"/>
      <c r="I43" s="495"/>
      <c r="J43" s="494"/>
      <c r="K43" s="558"/>
    </row>
    <row r="44" spans="1:13" ht="12.75">
      <c r="A44" s="521"/>
      <c r="B44" s="540"/>
      <c r="C44" s="478" t="s">
        <v>107</v>
      </c>
      <c r="D44" s="466"/>
      <c r="E44" s="471" t="s">
        <v>125</v>
      </c>
      <c r="F44" s="529" t="s">
        <v>128</v>
      </c>
      <c r="G44" s="428"/>
      <c r="H44" s="477"/>
      <c r="I44" s="495"/>
      <c r="J44" s="494">
        <f>SUM(J41:J42)</f>
        <v>2175.62</v>
      </c>
      <c r="K44" s="558"/>
    </row>
    <row r="45" spans="1:13" ht="12.75">
      <c r="A45" s="521"/>
      <c r="B45" s="540"/>
      <c r="C45" s="197">
        <f>(15%*C42)+(9%*C42)+3.65+2</f>
        <v>7.81</v>
      </c>
      <c r="D45" s="453" t="s">
        <v>21</v>
      </c>
      <c r="E45" s="471" t="s">
        <v>131</v>
      </c>
      <c r="F45" s="529" t="s">
        <v>119</v>
      </c>
      <c r="G45" s="546"/>
      <c r="H45" s="477">
        <f>(C45/100)</f>
        <v>7.8100000000000003E-2</v>
      </c>
      <c r="I45" s="495"/>
      <c r="J45" s="494">
        <f>(+J47*H45)</f>
        <v>184.31</v>
      </c>
      <c r="K45" s="489">
        <f>J45/J47</f>
        <v>7.8100000000000003E-2</v>
      </c>
    </row>
    <row r="46" spans="1:13" ht="12" customHeight="1">
      <c r="A46" s="521"/>
      <c r="B46" s="540"/>
      <c r="C46" s="478" t="s">
        <v>107</v>
      </c>
      <c r="D46" s="466"/>
      <c r="E46" s="466"/>
      <c r="F46" s="474"/>
      <c r="G46" s="428"/>
      <c r="H46" s="495"/>
      <c r="I46" s="495"/>
      <c r="J46" s="494"/>
      <c r="K46" s="558"/>
    </row>
    <row r="47" spans="1:13" ht="16.5" thickBot="1">
      <c r="A47" s="582"/>
      <c r="B47" s="583"/>
      <c r="C47" s="584" t="s">
        <v>107</v>
      </c>
      <c r="D47" s="585"/>
      <c r="E47" s="586" t="s">
        <v>127</v>
      </c>
      <c r="F47" s="587" t="s">
        <v>291</v>
      </c>
      <c r="G47" s="588"/>
      <c r="H47" s="588"/>
      <c r="I47" s="588"/>
      <c r="J47" s="636">
        <f>J44/(1-H45)</f>
        <v>2359.9299999999998</v>
      </c>
      <c r="K47" s="590">
        <f>J47/J47</f>
        <v>1</v>
      </c>
    </row>
    <row r="48" spans="1:13" ht="12.75">
      <c r="A48" s="278"/>
      <c r="B48" s="278"/>
      <c r="C48" s="279"/>
      <c r="D48" s="278"/>
      <c r="E48" s="280"/>
      <c r="F48" s="280"/>
      <c r="G48" s="278"/>
      <c r="H48" s="278"/>
      <c r="I48" s="278"/>
      <c r="J48" s="279"/>
      <c r="K48" s="281"/>
    </row>
    <row r="49" spans="1:11" ht="15.75">
      <c r="A49" s="30" t="s">
        <v>135</v>
      </c>
      <c r="H49" s="278"/>
      <c r="I49" s="278"/>
      <c r="J49" s="279"/>
      <c r="K49" s="281"/>
    </row>
    <row r="51" spans="1:11" ht="15.75">
      <c r="A51" s="30" t="str">
        <f>'Ônibus Equipe Capina'!A71</f>
        <v>Patos de Minas-MG, 01 de novembro de 2016</v>
      </c>
      <c r="G51" s="13"/>
      <c r="H51" s="11"/>
      <c r="I51" s="11"/>
    </row>
    <row r="52" spans="1:11" ht="12.75" thickBot="1">
      <c r="F52" s="694"/>
      <c r="G52" s="694"/>
      <c r="H52" s="694"/>
      <c r="I52" s="694"/>
    </row>
    <row r="53" spans="1:11" ht="12.75" thickTop="1">
      <c r="F53" s="1" t="s">
        <v>346</v>
      </c>
    </row>
    <row r="54" spans="1:11">
      <c r="F54" s="1" t="s">
        <v>347</v>
      </c>
    </row>
    <row r="55" spans="1:11">
      <c r="A55" s="13"/>
      <c r="F55" s="272"/>
    </row>
    <row r="59" spans="1:11">
      <c r="A59" s="217"/>
      <c r="B59" s="217"/>
      <c r="C59" s="217"/>
      <c r="D59" s="217"/>
      <c r="E59" s="217"/>
      <c r="F59" s="217"/>
      <c r="G59" s="217"/>
      <c r="H59" s="217"/>
      <c r="I59" s="217"/>
      <c r="J59" s="217"/>
    </row>
    <row r="83" ht="2.25" customHeight="1"/>
    <row r="84" ht="12.75" customHeight="1"/>
    <row r="85" ht="0.75" customHeight="1"/>
    <row r="110" spans="12:12" ht="12.75">
      <c r="L110" s="218"/>
    </row>
    <row r="111" spans="12:12" ht="12.75">
      <c r="L111" s="218"/>
    </row>
    <row r="112" spans="12:12" ht="12.75">
      <c r="L112" s="218"/>
    </row>
    <row r="113" spans="1:12" ht="12.75">
      <c r="L113" s="218"/>
    </row>
    <row r="114" spans="1:12" ht="12.75">
      <c r="L114" s="2"/>
    </row>
    <row r="115" spans="1:12" ht="12.75">
      <c r="A115" s="218"/>
      <c r="B115" s="218"/>
      <c r="C115" s="218"/>
      <c r="D115" s="218"/>
      <c r="E115" s="222"/>
      <c r="F115" s="222"/>
      <c r="G115" s="222"/>
      <c r="H115" s="222"/>
      <c r="I115" s="222"/>
      <c r="J115" s="222"/>
      <c r="K115" s="222"/>
    </row>
    <row r="116" spans="1:12" ht="12.75">
      <c r="A116" s="218"/>
      <c r="B116" s="218"/>
      <c r="C116" s="218"/>
      <c r="D116" s="218"/>
      <c r="E116" s="218"/>
      <c r="F116" s="218"/>
      <c r="G116" s="218"/>
      <c r="H116" s="218"/>
      <c r="I116" s="218"/>
      <c r="J116" s="223"/>
      <c r="K116" s="223"/>
      <c r="L116" s="130"/>
    </row>
    <row r="117" spans="1:12" ht="12.75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</row>
    <row r="118" spans="1:12" ht="12.75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1:12" ht="12.75">
      <c r="A119" s="218"/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</row>
    <row r="120" spans="1:12" ht="12.75">
      <c r="A120" s="218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2" ht="12.75">
      <c r="A121" s="2"/>
      <c r="B121" s="2"/>
      <c r="C121" s="2"/>
      <c r="D121" s="2"/>
      <c r="E121" s="224"/>
      <c r="F121" s="2"/>
      <c r="G121" s="2"/>
      <c r="H121" s="2"/>
      <c r="I121" s="2"/>
      <c r="J121" s="2"/>
      <c r="K121" s="2"/>
      <c r="L121" s="4"/>
    </row>
    <row r="122" spans="1:12" ht="12.75">
      <c r="A122" s="2"/>
      <c r="B122" s="2"/>
      <c r="C122" s="2"/>
      <c r="D122" s="2"/>
      <c r="E122" s="225"/>
      <c r="F122" s="225"/>
      <c r="G122" s="225"/>
      <c r="H122" s="225"/>
      <c r="I122" s="2"/>
      <c r="J122" s="2"/>
      <c r="K122" s="2"/>
      <c r="L122" s="4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1:12" ht="12.75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4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5"/>
      <c r="C127" s="2"/>
      <c r="D127" s="221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5"/>
      <c r="C130" s="2"/>
      <c r="D130" s="221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6"/>
      <c r="C133" s="4"/>
      <c r="D133" s="226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4"/>
    </row>
    <row r="137" spans="1:12">
      <c r="A137" s="4"/>
      <c r="B137" s="4"/>
      <c r="C137" s="6"/>
      <c r="D137" s="4"/>
      <c r="E137" s="4"/>
      <c r="F137" s="4"/>
      <c r="G137" s="227"/>
      <c r="H137" s="227"/>
      <c r="L137" s="4"/>
    </row>
    <row r="138" spans="1:12">
      <c r="A138" s="7"/>
      <c r="B138" s="7"/>
      <c r="C138" s="7"/>
      <c r="D138" s="7"/>
      <c r="E138" s="7"/>
      <c r="F138" s="7"/>
      <c r="G138" s="7"/>
      <c r="H138" s="7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L140" s="4"/>
    </row>
    <row r="141" spans="1:12">
      <c r="B141" s="228"/>
      <c r="C141" s="229"/>
      <c r="G141" s="230"/>
      <c r="H141" s="229"/>
      <c r="L141" s="4"/>
    </row>
    <row r="142" spans="1:12">
      <c r="G142" s="231"/>
      <c r="L142" s="4"/>
    </row>
    <row r="143" spans="1:12">
      <c r="G143" s="231"/>
      <c r="L143" s="4"/>
    </row>
    <row r="144" spans="1:12">
      <c r="B144" s="228"/>
      <c r="C144" s="229"/>
      <c r="G144" s="230"/>
      <c r="H144" s="229"/>
      <c r="L144" s="4"/>
    </row>
    <row r="145" spans="1:12">
      <c r="G145" s="20"/>
      <c r="L145" s="4"/>
    </row>
    <row r="146" spans="1:12">
      <c r="G146" s="20"/>
      <c r="L146" s="4"/>
    </row>
    <row r="147" spans="1:12">
      <c r="B147" s="3"/>
      <c r="C147" s="232"/>
      <c r="G147" s="230"/>
      <c r="H147" s="229"/>
      <c r="L147" s="4"/>
    </row>
    <row r="148" spans="1:12">
      <c r="G148" s="20"/>
      <c r="L148" s="4"/>
    </row>
    <row r="149" spans="1:12">
      <c r="G149" s="20"/>
      <c r="L149" s="4"/>
    </row>
    <row r="150" spans="1:12">
      <c r="B150" s="3"/>
      <c r="C150" s="233"/>
      <c r="G150" s="230"/>
      <c r="H150" s="234"/>
      <c r="L150" s="4"/>
    </row>
    <row r="151" spans="1:12">
      <c r="J151" s="4"/>
      <c r="K151" s="4"/>
      <c r="L151" s="4"/>
    </row>
    <row r="152" spans="1:12">
      <c r="A152" s="235"/>
      <c r="B152" s="235"/>
      <c r="C152" s="235"/>
      <c r="D152" s="235"/>
      <c r="E152" s="235"/>
      <c r="F152" s="235"/>
      <c r="G152" s="235"/>
      <c r="H152" s="235"/>
      <c r="I152" s="235"/>
      <c r="J152" s="7"/>
      <c r="K152" s="7"/>
      <c r="L152" s="4"/>
    </row>
    <row r="153" spans="1:12">
      <c r="J153" s="4"/>
      <c r="K153" s="4"/>
      <c r="L153" s="4"/>
    </row>
    <row r="154" spans="1:12">
      <c r="B154" s="228"/>
      <c r="D154" s="234"/>
      <c r="J154" s="4"/>
      <c r="K154" s="4"/>
      <c r="L154" s="4"/>
    </row>
    <row r="155" spans="1:12">
      <c r="J155" s="4"/>
      <c r="K155" s="4"/>
      <c r="L155" s="4"/>
    </row>
    <row r="156" spans="1:12">
      <c r="A156" s="235"/>
      <c r="B156" s="235"/>
      <c r="C156" s="235"/>
      <c r="D156" s="235"/>
      <c r="E156" s="235"/>
      <c r="F156" s="235"/>
      <c r="G156" s="235"/>
      <c r="H156" s="235"/>
      <c r="I156" s="235"/>
      <c r="J156" s="7"/>
      <c r="K156" s="7"/>
      <c r="L156" s="4"/>
    </row>
    <row r="157" spans="1: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</sheetData>
  <mergeCells count="3">
    <mergeCell ref="A1:K1"/>
    <mergeCell ref="A5:J5"/>
    <mergeCell ref="F32:G32"/>
  </mergeCells>
  <phoneticPr fontId="35" type="noConversion"/>
  <printOptions horizontalCentered="1"/>
  <pageMargins left="0.59055118110236227" right="0" top="1.1811023622047245" bottom="0.19685039370078741" header="0.31496062992125984" footer="0.31496062992125984"/>
  <pageSetup paperSize="9" scale="60" orientation="portrait" r:id="rId1"/>
  <headerFooter alignWithMargins="0">
    <oddHeader>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3"/>
  <sheetViews>
    <sheetView topLeftCell="A27" workbookViewId="0">
      <selection activeCell="F57" sqref="F57:I59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2.625" style="1" customWidth="1"/>
    <col min="8" max="8" width="13.125" style="1" customWidth="1"/>
    <col min="9" max="9" width="13" style="1" customWidth="1"/>
    <col min="10" max="10" width="12.375" style="1" customWidth="1"/>
    <col min="11" max="11" width="8" style="1" customWidth="1"/>
    <col min="12" max="12" width="0.875" style="1" customWidth="1"/>
    <col min="13" max="16384" width="11" style="1"/>
  </cols>
  <sheetData>
    <row r="1" spans="1:11" ht="22.5" customHeight="1" thickBot="1">
      <c r="A1" s="653" t="s">
        <v>192</v>
      </c>
      <c r="B1" s="654"/>
      <c r="C1" s="654"/>
      <c r="D1" s="654"/>
      <c r="E1" s="654"/>
      <c r="F1" s="654"/>
      <c r="G1" s="654"/>
      <c r="H1" s="654"/>
      <c r="I1" s="654"/>
      <c r="J1" s="654"/>
      <c r="K1" s="655"/>
    </row>
    <row r="2" spans="1:11" ht="20.25">
      <c r="A2" s="400" t="s">
        <v>143</v>
      </c>
      <c r="B2" s="401"/>
      <c r="C2" s="402"/>
      <c r="D2" s="401"/>
      <c r="E2" s="401"/>
      <c r="F2" s="401"/>
      <c r="G2" s="403"/>
      <c r="H2" s="401"/>
      <c r="I2" s="401"/>
      <c r="J2" s="631"/>
      <c r="K2" s="404"/>
    </row>
    <row r="3" spans="1:11" ht="20.25">
      <c r="A3" s="409" t="s">
        <v>144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</row>
    <row r="4" spans="1:11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</row>
    <row r="5" spans="1:11" ht="20.25">
      <c r="A5" s="650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</row>
    <row r="6" spans="1:11" ht="12.75">
      <c r="A6" s="419" t="s">
        <v>193</v>
      </c>
      <c r="B6" s="420"/>
      <c r="C6" s="420"/>
      <c r="D6" s="420"/>
      <c r="E6" s="429"/>
      <c r="F6" s="420"/>
      <c r="G6" s="420"/>
      <c r="H6" s="420"/>
      <c r="I6" s="420"/>
      <c r="J6" s="420"/>
      <c r="K6" s="430"/>
    </row>
    <row r="7" spans="1:11" ht="12.75">
      <c r="A7" s="424"/>
      <c r="B7" s="425"/>
      <c r="C7" s="425"/>
      <c r="D7" s="425"/>
      <c r="E7" s="425"/>
      <c r="F7" s="425"/>
      <c r="G7" s="425"/>
      <c r="H7" s="425"/>
      <c r="I7" s="425"/>
      <c r="J7" s="425"/>
      <c r="K7" s="432"/>
    </row>
    <row r="8" spans="1:11" ht="12.75">
      <c r="A8" s="424"/>
      <c r="B8" s="425"/>
      <c r="C8" s="425"/>
      <c r="D8" s="425"/>
      <c r="E8" s="425"/>
      <c r="F8" s="425"/>
      <c r="G8" s="425"/>
      <c r="H8" s="425"/>
      <c r="I8" s="435"/>
      <c r="J8" s="425"/>
      <c r="K8" s="432"/>
    </row>
    <row r="9" spans="1:11" ht="15.75">
      <c r="A9" s="424" t="s">
        <v>29</v>
      </c>
      <c r="B9" s="426" t="s">
        <v>30</v>
      </c>
      <c r="C9" s="425"/>
      <c r="D9" s="425"/>
      <c r="E9" s="425"/>
      <c r="F9" s="425"/>
      <c r="G9" s="425"/>
      <c r="H9" s="425"/>
      <c r="I9" s="435"/>
      <c r="J9" s="425"/>
      <c r="K9" s="432"/>
    </row>
    <row r="10" spans="1:11" ht="12.75">
      <c r="A10" s="424"/>
      <c r="B10" s="425"/>
      <c r="C10" s="445"/>
      <c r="D10" s="425"/>
      <c r="E10" s="425"/>
      <c r="F10" s="425"/>
      <c r="G10" s="425"/>
      <c r="H10" s="425"/>
      <c r="I10" s="425"/>
      <c r="J10" s="425"/>
      <c r="K10" s="432"/>
    </row>
    <row r="11" spans="1:11" ht="12.75">
      <c r="A11" s="436" t="s">
        <v>34</v>
      </c>
      <c r="B11" s="451">
        <v>0.29166666666666702</v>
      </c>
      <c r="C11" s="438" t="s">
        <v>27</v>
      </c>
      <c r="D11" s="451">
        <v>0.70833333333333304</v>
      </c>
      <c r="E11" s="439" t="s">
        <v>28</v>
      </c>
      <c r="F11" s="440"/>
      <c r="G11" s="441"/>
      <c r="H11" s="441"/>
      <c r="I11" s="441"/>
      <c r="J11" s="441"/>
      <c r="K11" s="432"/>
    </row>
    <row r="12" spans="1:11" ht="12.75">
      <c r="A12" s="455"/>
      <c r="B12" s="456"/>
      <c r="C12" s="456"/>
      <c r="D12" s="456"/>
      <c r="E12" s="456"/>
      <c r="F12" s="456"/>
      <c r="G12" s="456"/>
      <c r="H12" s="456"/>
      <c r="I12" s="449" t="s">
        <v>33</v>
      </c>
      <c r="J12" s="457"/>
      <c r="K12" s="458"/>
    </row>
    <row r="13" spans="1:11" ht="12.75">
      <c r="A13" s="452" t="s">
        <v>44</v>
      </c>
      <c r="B13" s="453" t="s">
        <v>36</v>
      </c>
      <c r="C13" s="453" t="s">
        <v>45</v>
      </c>
      <c r="D13" s="453" t="s">
        <v>36</v>
      </c>
      <c r="E13" s="453" t="s">
        <v>35</v>
      </c>
      <c r="F13" s="453" t="s">
        <v>38</v>
      </c>
      <c r="G13" s="453" t="s">
        <v>39</v>
      </c>
      <c r="H13" s="453" t="s">
        <v>40</v>
      </c>
      <c r="I13" s="453" t="s">
        <v>41</v>
      </c>
      <c r="J13" s="454" t="s">
        <v>42</v>
      </c>
      <c r="K13" s="465"/>
    </row>
    <row r="14" spans="1:11" ht="12.75">
      <c r="A14" s="467"/>
      <c r="B14" s="468"/>
      <c r="C14" s="468"/>
      <c r="D14" s="468"/>
      <c r="E14" s="468"/>
      <c r="F14" s="468"/>
      <c r="G14" s="468"/>
      <c r="H14" s="468"/>
      <c r="I14" s="462" t="s">
        <v>43</v>
      </c>
      <c r="J14" s="469"/>
      <c r="K14" s="458"/>
    </row>
    <row r="15" spans="1:11" ht="12.75">
      <c r="A15" s="470"/>
      <c r="B15" s="466"/>
      <c r="C15" s="466"/>
      <c r="D15" s="466"/>
      <c r="E15" s="466"/>
      <c r="F15" s="466"/>
      <c r="G15" s="466"/>
      <c r="H15" s="466"/>
      <c r="I15" s="466"/>
      <c r="J15" s="474"/>
      <c r="K15" s="432"/>
    </row>
    <row r="16" spans="1:11" ht="12.75">
      <c r="A16" s="504"/>
      <c r="B16" s="466"/>
      <c r="C16" s="478"/>
      <c r="D16" s="466"/>
      <c r="E16" s="491">
        <v>12</v>
      </c>
      <c r="F16" s="485" t="s">
        <v>58</v>
      </c>
      <c r="G16" s="485" t="s">
        <v>149</v>
      </c>
      <c r="H16" s="491">
        <f>E16</f>
        <v>12</v>
      </c>
      <c r="I16" s="520">
        <v>893.4</v>
      </c>
      <c r="J16" s="488">
        <f>(H16*I16)</f>
        <v>10720.8</v>
      </c>
      <c r="K16" s="489">
        <f t="shared" ref="K16:K26" si="0">J16/J$52</f>
        <v>0.28920000000000001</v>
      </c>
    </row>
    <row r="17" spans="1:11" ht="12.75">
      <c r="A17" s="492"/>
      <c r="B17" s="453"/>
      <c r="C17" s="478"/>
      <c r="D17" s="453"/>
      <c r="E17" s="491">
        <v>1</v>
      </c>
      <c r="F17" s="485" t="s">
        <v>69</v>
      </c>
      <c r="G17" s="485" t="s">
        <v>194</v>
      </c>
      <c r="H17" s="491">
        <f>E17</f>
        <v>1</v>
      </c>
      <c r="I17" s="520">
        <f>1346.55*1.11</f>
        <v>1494.67</v>
      </c>
      <c r="J17" s="488">
        <f>(H17*I17)</f>
        <v>1494.67</v>
      </c>
      <c r="K17" s="489">
        <f t="shared" si="0"/>
        <v>4.0300000000000002E-2</v>
      </c>
    </row>
    <row r="18" spans="1:11" ht="12.75">
      <c r="A18" s="492"/>
      <c r="B18" s="453"/>
      <c r="C18" s="478"/>
      <c r="D18" s="453"/>
      <c r="E18" s="491">
        <v>1</v>
      </c>
      <c r="F18" s="485" t="s">
        <v>78</v>
      </c>
      <c r="G18" s="485" t="s">
        <v>153</v>
      </c>
      <c r="H18" s="491">
        <f>E18</f>
        <v>1</v>
      </c>
      <c r="I18" s="274">
        <v>1800</v>
      </c>
      <c r="J18" s="488">
        <f>(H18*I18)</f>
        <v>1800</v>
      </c>
      <c r="K18" s="489">
        <f t="shared" si="0"/>
        <v>4.8599999999999997E-2</v>
      </c>
    </row>
    <row r="19" spans="1:11" ht="12.75">
      <c r="A19" s="353">
        <v>82.26</v>
      </c>
      <c r="B19" s="453" t="s">
        <v>155</v>
      </c>
      <c r="C19" s="478" t="s">
        <v>107</v>
      </c>
      <c r="D19" s="471" t="s">
        <v>53</v>
      </c>
      <c r="E19" s="453" t="s">
        <v>57</v>
      </c>
      <c r="F19" s="485" t="s">
        <v>82</v>
      </c>
      <c r="G19" s="471" t="s">
        <v>156</v>
      </c>
      <c r="H19" s="482">
        <f>A19/100</f>
        <v>0.8226</v>
      </c>
      <c r="I19" s="478">
        <f>SUM(J16:J18)</f>
        <v>14015.47</v>
      </c>
      <c r="J19" s="494">
        <f>(I19*H19)</f>
        <v>11529.13</v>
      </c>
      <c r="K19" s="489">
        <f t="shared" si="0"/>
        <v>0.311</v>
      </c>
    </row>
    <row r="20" spans="1:11" ht="12.75">
      <c r="A20" s="492">
        <v>1</v>
      </c>
      <c r="B20" s="453" t="s">
        <v>157</v>
      </c>
      <c r="C20" s="478">
        <v>1</v>
      </c>
      <c r="D20" s="453" t="s">
        <v>56</v>
      </c>
      <c r="E20" s="476">
        <f>E16+E18+E17</f>
        <v>14</v>
      </c>
      <c r="F20" s="485" t="s">
        <v>85</v>
      </c>
      <c r="G20" s="471" t="s">
        <v>158</v>
      </c>
      <c r="H20" s="476">
        <f t="shared" ref="H20:H26" si="1">E20</f>
        <v>14</v>
      </c>
      <c r="I20" s="487">
        <v>121.84</v>
      </c>
      <c r="J20" s="494">
        <f>(+I20*H20)*A20/C20</f>
        <v>1705.76</v>
      </c>
      <c r="K20" s="489">
        <f t="shared" si="0"/>
        <v>4.5999999999999999E-2</v>
      </c>
    </row>
    <row r="21" spans="1:11" ht="12.75">
      <c r="A21" s="492">
        <v>1</v>
      </c>
      <c r="B21" s="453" t="s">
        <v>159</v>
      </c>
      <c r="C21" s="478">
        <v>6</v>
      </c>
      <c r="D21" s="453" t="s">
        <v>56</v>
      </c>
      <c r="E21" s="476">
        <f>E20</f>
        <v>14</v>
      </c>
      <c r="F21" s="485" t="s">
        <v>88</v>
      </c>
      <c r="G21" s="471" t="s">
        <v>161</v>
      </c>
      <c r="H21" s="476">
        <f t="shared" si="1"/>
        <v>14</v>
      </c>
      <c r="I21" s="197">
        <v>90</v>
      </c>
      <c r="J21" s="494">
        <f>(I21*H21*A21)/C21</f>
        <v>210</v>
      </c>
      <c r="K21" s="489">
        <f t="shared" si="0"/>
        <v>5.7000000000000002E-3</v>
      </c>
    </row>
    <row r="22" spans="1:11" ht="12.75">
      <c r="A22" s="492">
        <v>1</v>
      </c>
      <c r="B22" s="453" t="s">
        <v>162</v>
      </c>
      <c r="C22" s="478">
        <v>1</v>
      </c>
      <c r="D22" s="453" t="s">
        <v>56</v>
      </c>
      <c r="E22" s="476">
        <f>E20</f>
        <v>14</v>
      </c>
      <c r="F22" s="485" t="s">
        <v>93</v>
      </c>
      <c r="G22" s="471" t="s">
        <v>164</v>
      </c>
      <c r="H22" s="476">
        <f t="shared" si="1"/>
        <v>14</v>
      </c>
      <c r="I22" s="197">
        <v>28</v>
      </c>
      <c r="J22" s="494">
        <f>(+I22*H22)*A22*C22</f>
        <v>392</v>
      </c>
      <c r="K22" s="489">
        <f t="shared" si="0"/>
        <v>1.06E-2</v>
      </c>
    </row>
    <row r="23" spans="1:11" ht="12.75">
      <c r="A23" s="492">
        <v>1</v>
      </c>
      <c r="B23" s="453" t="s">
        <v>159</v>
      </c>
      <c r="C23" s="478">
        <v>1</v>
      </c>
      <c r="D23" s="453" t="s">
        <v>56</v>
      </c>
      <c r="E23" s="476">
        <f>E22</f>
        <v>14</v>
      </c>
      <c r="F23" s="485" t="s">
        <v>100</v>
      </c>
      <c r="G23" s="471" t="s">
        <v>166</v>
      </c>
      <c r="H23" s="476">
        <f t="shared" si="1"/>
        <v>14</v>
      </c>
      <c r="I23" s="197">
        <v>16</v>
      </c>
      <c r="J23" s="494">
        <f>(I23*H23*A23)/C23</f>
        <v>224</v>
      </c>
      <c r="K23" s="489">
        <f t="shared" si="0"/>
        <v>6.0000000000000001E-3</v>
      </c>
    </row>
    <row r="24" spans="1:11" ht="12.75">
      <c r="A24" s="492">
        <v>1</v>
      </c>
      <c r="B24" s="453" t="s">
        <v>159</v>
      </c>
      <c r="C24" s="478">
        <v>6</v>
      </c>
      <c r="D24" s="453" t="s">
        <v>56</v>
      </c>
      <c r="E24" s="476">
        <f>E20</f>
        <v>14</v>
      </c>
      <c r="F24" s="485" t="s">
        <v>160</v>
      </c>
      <c r="G24" s="471" t="s">
        <v>168</v>
      </c>
      <c r="H24" s="476">
        <f t="shared" si="1"/>
        <v>14</v>
      </c>
      <c r="I24" s="197">
        <v>120</v>
      </c>
      <c r="J24" s="494">
        <f>(I24*H24*A24)/C24</f>
        <v>280</v>
      </c>
      <c r="K24" s="489">
        <f t="shared" si="0"/>
        <v>7.6E-3</v>
      </c>
    </row>
    <row r="25" spans="1:11" ht="12.75">
      <c r="A25" s="492">
        <v>44</v>
      </c>
      <c r="B25" s="453" t="s">
        <v>159</v>
      </c>
      <c r="C25" s="478">
        <v>1</v>
      </c>
      <c r="D25" s="453" t="s">
        <v>56</v>
      </c>
      <c r="E25" s="476">
        <f>E21</f>
        <v>14</v>
      </c>
      <c r="F25" s="471" t="s">
        <v>163</v>
      </c>
      <c r="G25" s="471" t="s">
        <v>170</v>
      </c>
      <c r="H25" s="476">
        <f t="shared" si="1"/>
        <v>14</v>
      </c>
      <c r="I25" s="487">
        <v>2.4</v>
      </c>
      <c r="J25" s="494">
        <f>(I25*H25*A25)/C25</f>
        <v>1478.4</v>
      </c>
      <c r="K25" s="489">
        <f t="shared" si="0"/>
        <v>3.9899999999999998E-2</v>
      </c>
    </row>
    <row r="26" spans="1:11" ht="12.75">
      <c r="A26" s="492">
        <v>1</v>
      </c>
      <c r="B26" s="453" t="s">
        <v>159</v>
      </c>
      <c r="C26" s="478">
        <v>1</v>
      </c>
      <c r="D26" s="453" t="s">
        <v>56</v>
      </c>
      <c r="E26" s="476">
        <f>E22</f>
        <v>14</v>
      </c>
      <c r="F26" s="471" t="s">
        <v>165</v>
      </c>
      <c r="G26" s="471" t="s">
        <v>172</v>
      </c>
      <c r="H26" s="476">
        <f t="shared" si="1"/>
        <v>14</v>
      </c>
      <c r="I26" s="487">
        <f>I19</f>
        <v>14015.47</v>
      </c>
      <c r="J26" s="494">
        <f>(I26*0.06)*-1</f>
        <v>-840.93</v>
      </c>
      <c r="K26" s="489">
        <f t="shared" si="0"/>
        <v>-2.2700000000000001E-2</v>
      </c>
    </row>
    <row r="27" spans="1:11" ht="12.75">
      <c r="A27" s="492"/>
      <c r="B27" s="453"/>
      <c r="C27" s="478"/>
      <c r="D27" s="453"/>
      <c r="E27" s="476"/>
      <c r="F27" s="471"/>
      <c r="G27" s="471"/>
      <c r="H27" s="632"/>
      <c r="I27" s="621"/>
      <c r="J27" s="623"/>
      <c r="K27" s="489"/>
    </row>
    <row r="28" spans="1:11" ht="12.75">
      <c r="A28" s="490"/>
      <c r="B28" s="466"/>
      <c r="C28" s="478"/>
      <c r="D28" s="466"/>
      <c r="E28" s="466"/>
      <c r="F28" s="485" t="s">
        <v>167</v>
      </c>
      <c r="G28" s="474" t="s">
        <v>299</v>
      </c>
      <c r="H28" s="624"/>
      <c r="I28" s="627"/>
      <c r="J28" s="623">
        <f>SUM(J16:J26)</f>
        <v>28993.83</v>
      </c>
      <c r="K28" s="489"/>
    </row>
    <row r="29" spans="1:11" ht="12.75">
      <c r="A29" s="490"/>
      <c r="B29" s="466"/>
      <c r="C29" s="478"/>
      <c r="D29" s="466"/>
      <c r="E29" s="525"/>
      <c r="F29" s="485"/>
      <c r="G29" s="625"/>
      <c r="H29" s="626"/>
      <c r="I29" s="627"/>
      <c r="J29" s="628"/>
      <c r="K29" s="489"/>
    </row>
    <row r="30" spans="1:11" ht="12.75">
      <c r="A30" s="353">
        <v>2.5</v>
      </c>
      <c r="B30" s="484" t="s">
        <v>155</v>
      </c>
      <c r="C30" s="478"/>
      <c r="D30" s="453"/>
      <c r="E30" s="525"/>
      <c r="F30" s="485" t="s">
        <v>310</v>
      </c>
      <c r="G30" s="529" t="s">
        <v>302</v>
      </c>
      <c r="H30" s="505">
        <f>A30/100</f>
        <v>2.5000000000000001E-2</v>
      </c>
      <c r="I30" s="530">
        <f>J28</f>
        <v>28993.83</v>
      </c>
      <c r="J30" s="488">
        <f>H30*I30</f>
        <v>724.85</v>
      </c>
      <c r="K30" s="489">
        <f>J30/J$52</f>
        <v>1.9599999999999999E-2</v>
      </c>
    </row>
    <row r="31" spans="1:11" ht="12.75">
      <c r="A31" s="470"/>
      <c r="B31" s="466"/>
      <c r="C31" s="495"/>
      <c r="D31" s="466"/>
      <c r="E31" s="466"/>
      <c r="F31" s="466"/>
      <c r="G31" s="466"/>
      <c r="H31" s="466"/>
      <c r="I31" s="495"/>
      <c r="J31" s="506"/>
      <c r="K31" s="489"/>
    </row>
    <row r="32" spans="1:11" ht="12.75">
      <c r="A32" s="459"/>
      <c r="B32" s="460"/>
      <c r="C32" s="462"/>
      <c r="D32" s="460"/>
      <c r="E32" s="460"/>
      <c r="F32" s="497" t="s">
        <v>169</v>
      </c>
      <c r="G32" s="498" t="s">
        <v>311</v>
      </c>
      <c r="H32" s="544"/>
      <c r="I32" s="544"/>
      <c r="J32" s="545">
        <f>SUM(J28:J30)</f>
        <v>29718.68</v>
      </c>
      <c r="K32" s="515">
        <f>J32/J$52</f>
        <v>0.80169999999999997</v>
      </c>
    </row>
    <row r="33" spans="1:13" ht="12.75">
      <c r="A33" s="521"/>
      <c r="B33" s="428"/>
      <c r="C33" s="428"/>
      <c r="D33" s="428"/>
      <c r="E33" s="428"/>
      <c r="F33" s="472"/>
      <c r="G33" s="472"/>
      <c r="H33" s="472"/>
      <c r="I33" s="472"/>
      <c r="J33" s="442"/>
      <c r="K33" s="547"/>
    </row>
    <row r="34" spans="1:13" ht="20.25">
      <c r="A34" s="548" t="s">
        <v>104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09"/>
    </row>
    <row r="35" spans="1:13" ht="20.25">
      <c r="A35" s="521"/>
      <c r="B35" s="428"/>
      <c r="C35" s="428"/>
      <c r="D35" s="428"/>
      <c r="E35" s="428"/>
      <c r="F35" s="428"/>
      <c r="G35" s="473"/>
      <c r="H35" s="428"/>
      <c r="I35" s="428"/>
      <c r="J35" s="428"/>
      <c r="K35" s="412"/>
    </row>
    <row r="36" spans="1:13" ht="12.75">
      <c r="A36" s="538"/>
      <c r="B36" s="448"/>
      <c r="C36" s="447"/>
      <c r="D36" s="447"/>
      <c r="E36" s="447"/>
      <c r="F36" s="551"/>
      <c r="G36" s="552"/>
      <c r="H36" s="456"/>
      <c r="I36" s="449" t="s">
        <v>33</v>
      </c>
      <c r="J36" s="450"/>
      <c r="K36" s="432"/>
    </row>
    <row r="37" spans="1:13" ht="12.75">
      <c r="A37" s="521"/>
      <c r="B37" s="540"/>
      <c r="C37" s="453" t="s">
        <v>44</v>
      </c>
      <c r="D37" s="453" t="s">
        <v>36</v>
      </c>
      <c r="E37" s="453" t="s">
        <v>38</v>
      </c>
      <c r="F37" s="642" t="s">
        <v>39</v>
      </c>
      <c r="G37" s="643"/>
      <c r="H37" s="453" t="s">
        <v>40</v>
      </c>
      <c r="I37" s="453" t="s">
        <v>41</v>
      </c>
      <c r="J37" s="454" t="s">
        <v>42</v>
      </c>
      <c r="K37" s="432"/>
    </row>
    <row r="38" spans="1:13" ht="12.75">
      <c r="A38" s="521"/>
      <c r="B38" s="540"/>
      <c r="C38" s="460"/>
      <c r="D38" s="460"/>
      <c r="E38" s="460"/>
      <c r="F38" s="463"/>
      <c r="G38" s="441"/>
      <c r="H38" s="468"/>
      <c r="I38" s="462" t="s">
        <v>43</v>
      </c>
      <c r="J38" s="463"/>
      <c r="K38" s="553"/>
    </row>
    <row r="39" spans="1:13" ht="12.75">
      <c r="A39" s="521"/>
      <c r="B39" s="540"/>
      <c r="C39" s="466"/>
      <c r="D39" s="466"/>
      <c r="E39" s="471" t="s">
        <v>114</v>
      </c>
      <c r="F39" s="554" t="s">
        <v>312</v>
      </c>
      <c r="G39" s="421"/>
      <c r="H39" s="555"/>
      <c r="I39" s="478">
        <f>J32</f>
        <v>29718.68</v>
      </c>
      <c r="J39" s="556">
        <f>J32</f>
        <v>29718.68</v>
      </c>
      <c r="K39" s="432"/>
    </row>
    <row r="40" spans="1:13" ht="12.75">
      <c r="A40" s="521"/>
      <c r="B40" s="540"/>
      <c r="C40" s="493"/>
      <c r="D40" s="453"/>
      <c r="E40" s="471"/>
      <c r="F40" s="529"/>
      <c r="G40" s="546"/>
      <c r="H40" s="477"/>
      <c r="I40" s="495"/>
      <c r="J40" s="494"/>
      <c r="K40" s="489"/>
    </row>
    <row r="41" spans="1:13" ht="12.75">
      <c r="A41" s="521"/>
      <c r="B41" s="540"/>
      <c r="C41" s="179">
        <v>5.5</v>
      </c>
      <c r="D41" s="453" t="s">
        <v>21</v>
      </c>
      <c r="E41" s="471" t="s">
        <v>117</v>
      </c>
      <c r="F41" s="529" t="s">
        <v>106</v>
      </c>
      <c r="G41" s="546"/>
      <c r="H41" s="477">
        <f>(C41/100)</f>
        <v>5.5E-2</v>
      </c>
      <c r="I41" s="495"/>
      <c r="J41" s="494">
        <f>(+J39*H41)</f>
        <v>1634.53</v>
      </c>
      <c r="K41" s="489">
        <f>J41/J52</f>
        <v>4.41E-2</v>
      </c>
    </row>
    <row r="42" spans="1:13" ht="12.75">
      <c r="A42" s="521"/>
      <c r="B42" s="540"/>
      <c r="C42" s="478" t="s">
        <v>107</v>
      </c>
      <c r="D42" s="466"/>
      <c r="E42" s="466"/>
      <c r="F42" s="474"/>
      <c r="G42" s="428"/>
      <c r="H42" s="477"/>
      <c r="I42" s="478"/>
      <c r="J42" s="494"/>
      <c r="K42" s="558"/>
      <c r="M42" s="130"/>
    </row>
    <row r="43" spans="1:13" ht="12.75">
      <c r="A43" s="521"/>
      <c r="B43" s="540"/>
      <c r="C43" s="559"/>
      <c r="D43" s="466"/>
      <c r="E43" s="471" t="s">
        <v>120</v>
      </c>
      <c r="F43" s="529" t="s">
        <v>289</v>
      </c>
      <c r="G43" s="428"/>
      <c r="H43" s="477"/>
      <c r="I43" s="495"/>
      <c r="J43" s="494">
        <f>SUM(J39:J41)</f>
        <v>31353.21</v>
      </c>
      <c r="K43" s="489"/>
    </row>
    <row r="44" spans="1:13" ht="12.75">
      <c r="A44" s="521"/>
      <c r="B44" s="540"/>
      <c r="C44" s="478">
        <v>0</v>
      </c>
      <c r="D44" s="453" t="s">
        <v>21</v>
      </c>
      <c r="E44" s="471" t="s">
        <v>121</v>
      </c>
      <c r="F44" s="529" t="s">
        <v>110</v>
      </c>
      <c r="G44" s="546"/>
      <c r="H44" s="477">
        <f>(C44/100)</f>
        <v>0</v>
      </c>
      <c r="I44" s="530">
        <f>J43</f>
        <v>31353.21</v>
      </c>
      <c r="J44" s="494">
        <f>(+J43*H44)</f>
        <v>0</v>
      </c>
      <c r="K44" s="489">
        <f>J44/J52</f>
        <v>0</v>
      </c>
    </row>
    <row r="45" spans="1:13" ht="12.75">
      <c r="A45" s="521"/>
      <c r="B45" s="540"/>
      <c r="C45" s="478" t="s">
        <v>107</v>
      </c>
      <c r="D45" s="466"/>
      <c r="E45" s="466"/>
      <c r="F45" s="474"/>
      <c r="G45" s="428"/>
      <c r="H45" s="477"/>
      <c r="I45" s="478"/>
      <c r="J45" s="494"/>
      <c r="K45" s="558"/>
    </row>
    <row r="46" spans="1:13" ht="12.75">
      <c r="A46" s="521"/>
      <c r="B46" s="540"/>
      <c r="C46" s="478" t="s">
        <v>107</v>
      </c>
      <c r="D46" s="466"/>
      <c r="E46" s="471" t="s">
        <v>122</v>
      </c>
      <c r="F46" s="529" t="s">
        <v>290</v>
      </c>
      <c r="G46" s="428"/>
      <c r="H46" s="477"/>
      <c r="I46" s="495"/>
      <c r="J46" s="494">
        <f>SUM(J43:J44)</f>
        <v>31353.21</v>
      </c>
      <c r="K46" s="558"/>
    </row>
    <row r="47" spans="1:13" ht="12.75">
      <c r="A47" s="521"/>
      <c r="B47" s="540"/>
      <c r="C47" s="179">
        <v>9</v>
      </c>
      <c r="D47" s="453" t="s">
        <v>21</v>
      </c>
      <c r="E47" s="471" t="s">
        <v>123</v>
      </c>
      <c r="F47" s="529" t="s">
        <v>292</v>
      </c>
      <c r="G47" s="546"/>
      <c r="H47" s="477">
        <f>(C47/100)</f>
        <v>0.09</v>
      </c>
      <c r="I47" s="530">
        <f>J46</f>
        <v>31353.21</v>
      </c>
      <c r="J47" s="494">
        <f>(+J46*H47)</f>
        <v>2821.79</v>
      </c>
      <c r="K47" s="489">
        <f>J47/J52</f>
        <v>7.6100000000000001E-2</v>
      </c>
    </row>
    <row r="48" spans="1:13" ht="12.75">
      <c r="A48" s="521"/>
      <c r="B48" s="540"/>
      <c r="C48" s="478" t="s">
        <v>107</v>
      </c>
      <c r="D48" s="466"/>
      <c r="E48" s="466"/>
      <c r="F48" s="474"/>
      <c r="G48" s="428"/>
      <c r="H48" s="477"/>
      <c r="I48" s="495"/>
      <c r="J48" s="494"/>
      <c r="K48" s="558"/>
    </row>
    <row r="49" spans="1:11" ht="12.75">
      <c r="A49" s="521"/>
      <c r="B49" s="540"/>
      <c r="C49" s="478" t="s">
        <v>107</v>
      </c>
      <c r="D49" s="466"/>
      <c r="E49" s="471" t="s">
        <v>125</v>
      </c>
      <c r="F49" s="529" t="s">
        <v>128</v>
      </c>
      <c r="G49" s="428"/>
      <c r="H49" s="477"/>
      <c r="I49" s="495"/>
      <c r="J49" s="494">
        <f>SUM(J46:J47)</f>
        <v>34175</v>
      </c>
      <c r="K49" s="558"/>
    </row>
    <row r="50" spans="1:11" ht="12.75">
      <c r="A50" s="521"/>
      <c r="B50" s="540"/>
      <c r="C50" s="197">
        <f>(15%*C47)+(9%*C47)+3.65+2</f>
        <v>7.81</v>
      </c>
      <c r="D50" s="453" t="s">
        <v>21</v>
      </c>
      <c r="E50" s="471" t="s">
        <v>131</v>
      </c>
      <c r="F50" s="529" t="s">
        <v>119</v>
      </c>
      <c r="G50" s="546"/>
      <c r="H50" s="477">
        <f>(C50/100)</f>
        <v>7.8100000000000003E-2</v>
      </c>
      <c r="I50" s="495"/>
      <c r="J50" s="494">
        <f>(+J52*H50)</f>
        <v>2895.18</v>
      </c>
      <c r="K50" s="489">
        <f>J50/J52</f>
        <v>7.8100000000000003E-2</v>
      </c>
    </row>
    <row r="51" spans="1:11" ht="12" customHeight="1">
      <c r="A51" s="521"/>
      <c r="B51" s="540"/>
      <c r="C51" s="478" t="s">
        <v>107</v>
      </c>
      <c r="D51" s="466"/>
      <c r="E51" s="466"/>
      <c r="F51" s="474"/>
      <c r="G51" s="428"/>
      <c r="H51" s="495"/>
      <c r="I51" s="495"/>
      <c r="J51" s="494"/>
      <c r="K51" s="558"/>
    </row>
    <row r="52" spans="1:11" ht="16.5" thickBot="1">
      <c r="A52" s="582"/>
      <c r="B52" s="583"/>
      <c r="C52" s="584" t="s">
        <v>107</v>
      </c>
      <c r="D52" s="585"/>
      <c r="E52" s="586" t="s">
        <v>127</v>
      </c>
      <c r="F52" s="587" t="s">
        <v>291</v>
      </c>
      <c r="G52" s="588"/>
      <c r="H52" s="588"/>
      <c r="I52" s="588"/>
      <c r="J52" s="636">
        <f>J49/(1-H50)</f>
        <v>37070.18</v>
      </c>
      <c r="K52" s="590">
        <f>J52/J52</f>
        <v>1</v>
      </c>
    </row>
    <row r="53" spans="1:11" ht="12.75">
      <c r="A53" s="278"/>
      <c r="B53" s="278"/>
      <c r="C53" s="279"/>
      <c r="D53" s="278"/>
      <c r="E53" s="280"/>
      <c r="F53" s="280"/>
      <c r="G53" s="278"/>
      <c r="H53" s="278"/>
      <c r="I53" s="278"/>
      <c r="J53" s="279"/>
      <c r="K53" s="281"/>
    </row>
    <row r="54" spans="1:11" ht="15.75">
      <c r="A54" s="30" t="s">
        <v>135</v>
      </c>
      <c r="H54" s="278"/>
      <c r="I54" s="278"/>
      <c r="J54" s="279"/>
      <c r="K54" s="281"/>
    </row>
    <row r="56" spans="1:11" ht="15.75">
      <c r="A56" s="30" t="str">
        <f>'Ônibus Equipe Capina'!A71</f>
        <v>Patos de Minas-MG, 01 de novembro de 2016</v>
      </c>
      <c r="G56" s="13"/>
      <c r="H56" s="11"/>
      <c r="I56" s="11"/>
    </row>
    <row r="57" spans="1:11" ht="12.75" thickBot="1">
      <c r="F57" s="694"/>
      <c r="G57" s="694"/>
      <c r="H57" s="694"/>
      <c r="I57" s="694"/>
    </row>
    <row r="58" spans="1:11" ht="12.75" thickTop="1">
      <c r="F58" s="1" t="s">
        <v>346</v>
      </c>
    </row>
    <row r="59" spans="1:11">
      <c r="F59" s="1" t="s">
        <v>347</v>
      </c>
    </row>
    <row r="60" spans="1:11">
      <c r="A60" s="13"/>
      <c r="F60" s="272"/>
    </row>
    <row r="64" spans="1:11">
      <c r="A64" s="217"/>
      <c r="B64" s="217"/>
      <c r="C64" s="217"/>
      <c r="D64" s="217"/>
      <c r="E64" s="217"/>
      <c r="F64" s="217"/>
      <c r="G64" s="217"/>
      <c r="H64" s="217"/>
      <c r="I64" s="217"/>
      <c r="J64" s="217"/>
    </row>
    <row r="88" ht="2.25" customHeight="1"/>
    <row r="89" ht="12.75" customHeight="1"/>
    <row r="90" ht="0.75" customHeight="1"/>
    <row r="115" spans="1:12" ht="12.75">
      <c r="L115" s="218"/>
    </row>
    <row r="116" spans="1:12" ht="12.75">
      <c r="L116" s="218"/>
    </row>
    <row r="117" spans="1:12" ht="12.75">
      <c r="L117" s="218"/>
    </row>
    <row r="118" spans="1:12" ht="12.75">
      <c r="L118" s="218"/>
    </row>
    <row r="119" spans="1:12" ht="12.75">
      <c r="L119" s="2"/>
    </row>
    <row r="120" spans="1:12" ht="12.75">
      <c r="A120" s="218"/>
      <c r="B120" s="218"/>
      <c r="C120" s="218"/>
      <c r="D120" s="218"/>
      <c r="E120" s="222"/>
      <c r="F120" s="222"/>
      <c r="G120" s="222"/>
      <c r="H120" s="222"/>
      <c r="I120" s="222"/>
      <c r="J120" s="222"/>
      <c r="K120" s="222"/>
    </row>
    <row r="121" spans="1:12" ht="12.75">
      <c r="A121" s="218"/>
      <c r="B121" s="218"/>
      <c r="C121" s="218"/>
      <c r="D121" s="218"/>
      <c r="E121" s="218"/>
      <c r="F121" s="218"/>
      <c r="G121" s="218"/>
      <c r="H121" s="218"/>
      <c r="I121" s="218"/>
      <c r="J121" s="223"/>
      <c r="K121" s="223"/>
      <c r="L121" s="130"/>
    </row>
    <row r="122" spans="1:12" ht="12.75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2" ht="12.75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  <row r="124" spans="1:12" ht="12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</row>
    <row r="125" spans="1:12" ht="12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2" ht="12.75">
      <c r="A126" s="2"/>
      <c r="B126" s="2"/>
      <c r="C126" s="2"/>
      <c r="D126" s="2"/>
      <c r="E126" s="224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25"/>
      <c r="F127" s="225"/>
      <c r="G127" s="225"/>
      <c r="H127" s="225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5"/>
      <c r="C132" s="2"/>
      <c r="D132" s="221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21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6"/>
      <c r="C138" s="4"/>
      <c r="D138" s="226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4"/>
    </row>
    <row r="142" spans="1:12">
      <c r="A142" s="4"/>
      <c r="B142" s="4"/>
      <c r="C142" s="6"/>
      <c r="D142" s="4"/>
      <c r="E142" s="4"/>
      <c r="F142" s="4"/>
      <c r="G142" s="227"/>
      <c r="H142" s="227"/>
      <c r="L142" s="4"/>
    </row>
    <row r="143" spans="1:12">
      <c r="A143" s="7"/>
      <c r="B143" s="7"/>
      <c r="C143" s="7"/>
      <c r="D143" s="7"/>
      <c r="E143" s="7"/>
      <c r="F143" s="7"/>
      <c r="G143" s="7"/>
      <c r="H143" s="7"/>
      <c r="L143" s="4"/>
    </row>
    <row r="144" spans="1:12">
      <c r="A144" s="4"/>
      <c r="B144" s="4"/>
      <c r="C144" s="4"/>
      <c r="D144" s="4"/>
      <c r="E144" s="4"/>
      <c r="F144" s="4"/>
      <c r="G144" s="4"/>
      <c r="H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L145" s="4"/>
    </row>
    <row r="146" spans="1:12">
      <c r="B146" s="228"/>
      <c r="C146" s="229"/>
      <c r="G146" s="230"/>
      <c r="H146" s="229"/>
      <c r="L146" s="4"/>
    </row>
    <row r="147" spans="1:12">
      <c r="G147" s="231"/>
      <c r="L147" s="4"/>
    </row>
    <row r="148" spans="1:12">
      <c r="G148" s="231"/>
      <c r="L148" s="4"/>
    </row>
    <row r="149" spans="1:12">
      <c r="B149" s="228"/>
      <c r="C149" s="229"/>
      <c r="G149" s="230"/>
      <c r="H149" s="229"/>
      <c r="L149" s="4"/>
    </row>
    <row r="150" spans="1:12">
      <c r="G150" s="20"/>
      <c r="L150" s="4"/>
    </row>
    <row r="151" spans="1:12">
      <c r="G151" s="20"/>
      <c r="L151" s="4"/>
    </row>
    <row r="152" spans="1:12">
      <c r="B152" s="3"/>
      <c r="C152" s="232"/>
      <c r="G152" s="230"/>
      <c r="H152" s="229"/>
      <c r="L152" s="4"/>
    </row>
    <row r="153" spans="1:12">
      <c r="G153" s="20"/>
      <c r="L153" s="4"/>
    </row>
    <row r="154" spans="1:12">
      <c r="G154" s="20"/>
      <c r="L154" s="4"/>
    </row>
    <row r="155" spans="1:12">
      <c r="B155" s="3"/>
      <c r="C155" s="233"/>
      <c r="G155" s="230"/>
      <c r="H155" s="234"/>
      <c r="L155" s="4"/>
    </row>
    <row r="156" spans="1:12">
      <c r="J156" s="4"/>
      <c r="K156" s="4"/>
      <c r="L156" s="4"/>
    </row>
    <row r="157" spans="1:12">
      <c r="A157" s="235"/>
      <c r="B157" s="235"/>
      <c r="C157" s="235"/>
      <c r="D157" s="235"/>
      <c r="E157" s="235"/>
      <c r="F157" s="235"/>
      <c r="G157" s="235"/>
      <c r="H157" s="235"/>
      <c r="I157" s="235"/>
      <c r="J157" s="7"/>
      <c r="K157" s="7"/>
      <c r="L157" s="4"/>
    </row>
    <row r="158" spans="1:12">
      <c r="J158" s="4"/>
      <c r="K158" s="4"/>
      <c r="L158" s="4"/>
    </row>
    <row r="159" spans="1:12">
      <c r="B159" s="228"/>
      <c r="D159" s="234"/>
      <c r="J159" s="4"/>
      <c r="K159" s="4"/>
      <c r="L159" s="4"/>
    </row>
    <row r="160" spans="1:12">
      <c r="J160" s="4"/>
      <c r="K160" s="4"/>
      <c r="L160" s="4"/>
    </row>
    <row r="161" spans="1:12">
      <c r="A161" s="235"/>
      <c r="B161" s="235"/>
      <c r="C161" s="235"/>
      <c r="D161" s="235"/>
      <c r="E161" s="235"/>
      <c r="F161" s="235"/>
      <c r="G161" s="235"/>
      <c r="H161" s="235"/>
      <c r="I161" s="235"/>
      <c r="J161" s="7"/>
      <c r="K161" s="7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</sheetData>
  <mergeCells count="3">
    <mergeCell ref="A1:K1"/>
    <mergeCell ref="A5:J5"/>
    <mergeCell ref="F37:G37"/>
  </mergeCells>
  <phoneticPr fontId="35" type="noConversion"/>
  <printOptions horizontalCentered="1"/>
  <pageMargins left="0.59055118110236227" right="0" top="1.1811023622047245" bottom="0.19685039370078741" header="0.31496062992125984" footer="0.31496062992125984"/>
  <pageSetup paperSize="9" scale="60" orientation="portrait" r:id="rId1"/>
  <headerFooter alignWithMargins="0">
    <oddHeader>Página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3"/>
  <sheetViews>
    <sheetView topLeftCell="A37" zoomScaleNormal="100" workbookViewId="0">
      <selection activeCell="F63" sqref="F63:I65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9.375" style="1" customWidth="1"/>
    <col min="12" max="12" width="0.875" style="1" customWidth="1"/>
    <col min="13" max="16384" width="11" style="1"/>
  </cols>
  <sheetData>
    <row r="1" spans="1:14" ht="22.5" customHeight="1" thickBot="1">
      <c r="A1" s="644" t="s">
        <v>178</v>
      </c>
      <c r="B1" s="645"/>
      <c r="C1" s="645"/>
      <c r="D1" s="645"/>
      <c r="E1" s="645"/>
      <c r="F1" s="645"/>
      <c r="G1" s="645"/>
      <c r="H1" s="645"/>
      <c r="I1" s="645"/>
      <c r="J1" s="645"/>
      <c r="K1" s="646"/>
      <c r="L1" s="276"/>
    </row>
    <row r="2" spans="1:14" ht="20.25">
      <c r="A2" s="400" t="s">
        <v>179</v>
      </c>
      <c r="B2" s="401"/>
      <c r="C2" s="402"/>
      <c r="D2" s="401"/>
      <c r="E2" s="401"/>
      <c r="F2" s="401"/>
      <c r="G2" s="403"/>
      <c r="H2" s="401"/>
      <c r="I2" s="401"/>
      <c r="J2" s="401"/>
      <c r="K2" s="404"/>
      <c r="L2" s="276"/>
    </row>
    <row r="3" spans="1:14" ht="20.25">
      <c r="A3" s="409" t="s">
        <v>180</v>
      </c>
      <c r="B3" s="410"/>
      <c r="C3" s="410"/>
      <c r="D3" s="410"/>
      <c r="E3" s="411"/>
      <c r="F3" s="410"/>
      <c r="G3" s="410"/>
      <c r="H3" s="410"/>
      <c r="I3" s="410"/>
      <c r="J3" s="410"/>
      <c r="K3" s="412" t="s">
        <v>21</v>
      </c>
      <c r="L3" s="276"/>
    </row>
    <row r="4" spans="1:14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418"/>
      <c r="L4" s="276"/>
    </row>
    <row r="5" spans="1:14" ht="20.25">
      <c r="A5" s="650" t="s">
        <v>23</v>
      </c>
      <c r="B5" s="651"/>
      <c r="C5" s="651"/>
      <c r="D5" s="651"/>
      <c r="E5" s="651"/>
      <c r="F5" s="651"/>
      <c r="G5" s="651"/>
      <c r="H5" s="651"/>
      <c r="I5" s="651"/>
      <c r="J5" s="652"/>
      <c r="K5" s="423"/>
      <c r="L5" s="276"/>
    </row>
    <row r="6" spans="1:14" ht="12.75">
      <c r="A6" s="419" t="s">
        <v>181</v>
      </c>
      <c r="B6" s="420"/>
      <c r="C6" s="420"/>
      <c r="D6" s="420"/>
      <c r="E6" s="429"/>
      <c r="F6" s="420"/>
      <c r="G6" s="420"/>
      <c r="H6" s="420"/>
      <c r="I6" s="420"/>
      <c r="J6" s="420"/>
      <c r="K6" s="430"/>
      <c r="L6" s="276"/>
    </row>
    <row r="7" spans="1:14" ht="15.75">
      <c r="A7" s="424" t="s">
        <v>29</v>
      </c>
      <c r="B7" s="426" t="s">
        <v>30</v>
      </c>
      <c r="C7" s="425"/>
      <c r="D7" s="425"/>
      <c r="E7" s="425"/>
      <c r="F7" s="425"/>
      <c r="G7" s="425"/>
      <c r="H7" s="425"/>
      <c r="I7" s="425"/>
      <c r="J7" s="425"/>
      <c r="K7" s="432"/>
      <c r="L7" s="276"/>
    </row>
    <row r="8" spans="1:14" ht="12.75">
      <c r="A8" s="424" t="s">
        <v>182</v>
      </c>
      <c r="B8" s="425"/>
      <c r="C8" s="445">
        <v>5095</v>
      </c>
      <c r="D8" s="425" t="s">
        <v>32</v>
      </c>
      <c r="E8" s="425"/>
      <c r="F8" s="425" t="s">
        <v>317</v>
      </c>
      <c r="G8" s="425"/>
      <c r="H8" s="435"/>
      <c r="I8" s="435"/>
      <c r="J8" s="425"/>
      <c r="K8" s="432"/>
      <c r="L8" s="276"/>
      <c r="N8" s="360">
        <f>C8/(2*G$9)</f>
        <v>97.98</v>
      </c>
    </row>
    <row r="9" spans="1:14" ht="12.75">
      <c r="A9" s="424" t="s">
        <v>183</v>
      </c>
      <c r="B9" s="425"/>
      <c r="C9" s="445">
        <v>1910</v>
      </c>
      <c r="D9" s="425" t="s">
        <v>32</v>
      </c>
      <c r="E9" s="399"/>
      <c r="F9" s="425" t="s">
        <v>319</v>
      </c>
      <c r="G9" s="637">
        <v>26</v>
      </c>
      <c r="H9" s="435"/>
      <c r="I9" s="435"/>
      <c r="J9" s="425"/>
      <c r="K9" s="432"/>
      <c r="L9" s="276"/>
      <c r="N9" s="360">
        <f>C9/(2*G$9)</f>
        <v>36.729999999999997</v>
      </c>
    </row>
    <row r="10" spans="1:14" ht="12.75">
      <c r="A10" s="424" t="s">
        <v>184</v>
      </c>
      <c r="B10" s="425"/>
      <c r="C10" s="445">
        <v>186</v>
      </c>
      <c r="D10" s="425" t="s">
        <v>32</v>
      </c>
      <c r="E10" s="425"/>
      <c r="F10" s="425"/>
      <c r="G10" s="425"/>
      <c r="H10" s="425"/>
      <c r="I10" s="425"/>
      <c r="J10" s="425"/>
      <c r="K10" s="432"/>
      <c r="L10" s="276"/>
      <c r="N10" s="360">
        <f>(C10*1.5)/(2*G$9)</f>
        <v>5.37</v>
      </c>
    </row>
    <row r="11" spans="1:14" ht="12.75">
      <c r="A11" s="424" t="s">
        <v>185</v>
      </c>
      <c r="B11" s="425"/>
      <c r="C11" s="445">
        <f>2.5*24*7</f>
        <v>420</v>
      </c>
      <c r="D11" s="425" t="s">
        <v>32</v>
      </c>
      <c r="E11" s="425"/>
      <c r="F11" s="425"/>
      <c r="G11" s="425"/>
      <c r="H11" s="425"/>
      <c r="I11" s="425"/>
      <c r="J11" s="425"/>
      <c r="K11" s="432"/>
      <c r="L11" s="276"/>
      <c r="N11" s="360">
        <f>C11/(2*G$9)</f>
        <v>8.08</v>
      </c>
    </row>
    <row r="12" spans="1:14" ht="12.75">
      <c r="A12" s="436" t="s">
        <v>34</v>
      </c>
      <c r="B12" s="451">
        <v>0.29166666666666702</v>
      </c>
      <c r="C12" s="438" t="s">
        <v>27</v>
      </c>
      <c r="D12" s="451">
        <v>0.64791666666666703</v>
      </c>
      <c r="E12" s="439" t="s">
        <v>28</v>
      </c>
      <c r="F12" s="440" t="s">
        <v>318</v>
      </c>
      <c r="G12" s="441"/>
      <c r="H12" s="441"/>
      <c r="I12" s="441"/>
      <c r="J12" s="441"/>
      <c r="K12" s="432"/>
      <c r="L12" s="276"/>
      <c r="N12" s="361"/>
    </row>
    <row r="13" spans="1:14" ht="12.75">
      <c r="A13" s="455"/>
      <c r="B13" s="456"/>
      <c r="C13" s="456"/>
      <c r="D13" s="456"/>
      <c r="E13" s="456"/>
      <c r="F13" s="456"/>
      <c r="G13" s="456"/>
      <c r="H13" s="456"/>
      <c r="I13" s="449" t="s">
        <v>33</v>
      </c>
      <c r="J13" s="457"/>
      <c r="K13" s="458"/>
      <c r="L13" s="276"/>
      <c r="N13" s="359">
        <f>SUM(N8:N12)</f>
        <v>148.16</v>
      </c>
    </row>
    <row r="14" spans="1:14" ht="12.75">
      <c r="A14" s="452" t="s">
        <v>44</v>
      </c>
      <c r="B14" s="453" t="s">
        <v>36</v>
      </c>
      <c r="C14" s="453" t="s">
        <v>45</v>
      </c>
      <c r="D14" s="453" t="s">
        <v>36</v>
      </c>
      <c r="E14" s="453" t="s">
        <v>35</v>
      </c>
      <c r="F14" s="453" t="s">
        <v>38</v>
      </c>
      <c r="G14" s="453" t="s">
        <v>39</v>
      </c>
      <c r="H14" s="453" t="s">
        <v>40</v>
      </c>
      <c r="I14" s="453" t="s">
        <v>41</v>
      </c>
      <c r="J14" s="454" t="s">
        <v>42</v>
      </c>
      <c r="K14" s="465"/>
      <c r="L14" s="276"/>
    </row>
    <row r="15" spans="1:14" ht="12.75">
      <c r="A15" s="467"/>
      <c r="B15" s="468"/>
      <c r="C15" s="468"/>
      <c r="D15" s="468"/>
      <c r="E15" s="468"/>
      <c r="F15" s="468"/>
      <c r="G15" s="468"/>
      <c r="H15" s="468"/>
      <c r="I15" s="462" t="s">
        <v>43</v>
      </c>
      <c r="J15" s="469"/>
      <c r="K15" s="458"/>
      <c r="L15" s="276"/>
    </row>
    <row r="16" spans="1:14" ht="12.75">
      <c r="A16" s="470"/>
      <c r="B16" s="466"/>
      <c r="C16" s="466"/>
      <c r="D16" s="466"/>
      <c r="E16" s="466"/>
      <c r="F16" s="466"/>
      <c r="G16" s="466"/>
      <c r="H16" s="466"/>
      <c r="I16" s="466"/>
      <c r="J16" s="474"/>
      <c r="K16" s="432"/>
      <c r="L16" s="276"/>
    </row>
    <row r="17" spans="1:12" ht="12.75">
      <c r="A17" s="470"/>
      <c r="B17" s="466"/>
      <c r="C17" s="466"/>
      <c r="D17" s="466"/>
      <c r="E17" s="466"/>
      <c r="F17" s="471" t="s">
        <v>48</v>
      </c>
      <c r="G17" s="453" t="s">
        <v>49</v>
      </c>
      <c r="H17" s="466"/>
      <c r="I17" s="466"/>
      <c r="J17" s="474"/>
      <c r="K17" s="432"/>
      <c r="L17" s="276"/>
    </row>
    <row r="18" spans="1:12" ht="12.75">
      <c r="A18" s="504"/>
      <c r="B18" s="466"/>
      <c r="C18" s="478"/>
      <c r="D18" s="466"/>
      <c r="E18" s="466"/>
      <c r="F18" s="466"/>
      <c r="G18" s="466"/>
      <c r="H18" s="514"/>
      <c r="I18" s="478"/>
      <c r="J18" s="494"/>
      <c r="K18" s="509"/>
      <c r="L18" s="276"/>
    </row>
    <row r="19" spans="1:12" ht="12.75">
      <c r="A19" s="504"/>
      <c r="B19" s="466"/>
      <c r="C19" s="478"/>
      <c r="D19" s="466"/>
      <c r="E19" s="491">
        <v>1</v>
      </c>
      <c r="F19" s="485" t="s">
        <v>58</v>
      </c>
      <c r="G19" s="485" t="s">
        <v>186</v>
      </c>
      <c r="H19" s="519">
        <f t="shared" ref="H19:H25" si="0">E19</f>
        <v>1</v>
      </c>
      <c r="I19" s="520">
        <f>1346.55*1.11</f>
        <v>1494.67</v>
      </c>
      <c r="J19" s="488">
        <f t="shared" ref="J19:J25" si="1">(H19*I19)</f>
        <v>1494.67</v>
      </c>
      <c r="K19" s="489">
        <f t="shared" ref="K19:K31" si="2">J19/J$58</f>
        <v>3.5999999999999999E-3</v>
      </c>
      <c r="L19" s="276"/>
    </row>
    <row r="20" spans="1:12" ht="12.75">
      <c r="A20" s="492"/>
      <c r="B20" s="453"/>
      <c r="C20" s="478"/>
      <c r="D20" s="453"/>
      <c r="E20" s="491">
        <v>2</v>
      </c>
      <c r="F20" s="485" t="s">
        <v>69</v>
      </c>
      <c r="G20" s="485" t="s">
        <v>187</v>
      </c>
      <c r="H20" s="519">
        <f t="shared" si="0"/>
        <v>2</v>
      </c>
      <c r="I20" s="520">
        <v>893.4</v>
      </c>
      <c r="J20" s="488">
        <f t="shared" si="1"/>
        <v>1786.8</v>
      </c>
      <c r="K20" s="489">
        <f t="shared" si="2"/>
        <v>4.3E-3</v>
      </c>
      <c r="L20" s="276"/>
    </row>
    <row r="21" spans="1:12" ht="12.75">
      <c r="A21" s="622">
        <v>40</v>
      </c>
      <c r="B21" s="453" t="s">
        <v>150</v>
      </c>
      <c r="C21" s="476">
        <v>220</v>
      </c>
      <c r="D21" s="443" t="s">
        <v>151</v>
      </c>
      <c r="E21" s="491">
        <f>E20</f>
        <v>2</v>
      </c>
      <c r="F21" s="431" t="s">
        <v>78</v>
      </c>
      <c r="G21" s="485" t="s">
        <v>217</v>
      </c>
      <c r="H21" s="620">
        <f>A21/100</f>
        <v>0.4</v>
      </c>
      <c r="I21" s="487">
        <v>880</v>
      </c>
      <c r="J21" s="621">
        <f>(I21*H21)*E21</f>
        <v>704</v>
      </c>
      <c r="K21" s="489">
        <f t="shared" si="2"/>
        <v>1.6999999999999999E-3</v>
      </c>
      <c r="L21" s="276"/>
    </row>
    <row r="22" spans="1:12" ht="12.75">
      <c r="A22" s="492"/>
      <c r="B22" s="453"/>
      <c r="C22" s="478"/>
      <c r="D22" s="453"/>
      <c r="E22" s="491">
        <v>2</v>
      </c>
      <c r="F22" s="485" t="s">
        <v>82</v>
      </c>
      <c r="G22" s="485" t="s">
        <v>188</v>
      </c>
      <c r="H22" s="519">
        <f t="shared" si="0"/>
        <v>2</v>
      </c>
      <c r="I22" s="520">
        <f>I19</f>
        <v>1494.67</v>
      </c>
      <c r="J22" s="488">
        <f t="shared" si="1"/>
        <v>2989.34</v>
      </c>
      <c r="K22" s="489">
        <f t="shared" si="2"/>
        <v>7.1999999999999998E-3</v>
      </c>
      <c r="L22" s="276"/>
    </row>
    <row r="23" spans="1:12" ht="12.75">
      <c r="A23" s="492"/>
      <c r="B23" s="453"/>
      <c r="C23" s="478"/>
      <c r="D23" s="453"/>
      <c r="E23" s="491">
        <v>1</v>
      </c>
      <c r="F23" s="471" t="s">
        <v>85</v>
      </c>
      <c r="G23" s="485" t="s">
        <v>153</v>
      </c>
      <c r="H23" s="519">
        <f t="shared" si="0"/>
        <v>1</v>
      </c>
      <c r="I23" s="274">
        <v>1800</v>
      </c>
      <c r="J23" s="488">
        <f t="shared" si="1"/>
        <v>1800</v>
      </c>
      <c r="K23" s="489">
        <f t="shared" si="2"/>
        <v>4.3E-3</v>
      </c>
      <c r="L23" s="276"/>
    </row>
    <row r="24" spans="1:12" ht="12.75">
      <c r="A24" s="492"/>
      <c r="B24" s="466"/>
      <c r="C24" s="478"/>
      <c r="D24" s="466"/>
      <c r="E24" s="491">
        <v>2</v>
      </c>
      <c r="F24" s="471" t="s">
        <v>88</v>
      </c>
      <c r="G24" s="485" t="s">
        <v>189</v>
      </c>
      <c r="H24" s="519">
        <f t="shared" si="0"/>
        <v>2</v>
      </c>
      <c r="I24" s="274">
        <v>1000</v>
      </c>
      <c r="J24" s="488">
        <f t="shared" si="1"/>
        <v>2000</v>
      </c>
      <c r="K24" s="489">
        <f t="shared" si="2"/>
        <v>4.7999999999999996E-3</v>
      </c>
      <c r="L24" s="276"/>
    </row>
    <row r="25" spans="1:12" ht="12.75">
      <c r="A25" s="492"/>
      <c r="B25" s="453"/>
      <c r="C25" s="478"/>
      <c r="D25" s="453"/>
      <c r="E25" s="491">
        <f>(N8+N9+N10+N11)*1.1</f>
        <v>163</v>
      </c>
      <c r="F25" s="471" t="s">
        <v>93</v>
      </c>
      <c r="G25" s="485" t="s">
        <v>190</v>
      </c>
      <c r="H25" s="491">
        <f t="shared" si="0"/>
        <v>163</v>
      </c>
      <c r="I25" s="520">
        <v>893.4</v>
      </c>
      <c r="J25" s="488">
        <f t="shared" si="1"/>
        <v>145624.20000000001</v>
      </c>
      <c r="K25" s="489">
        <f t="shared" si="2"/>
        <v>0.35070000000000001</v>
      </c>
      <c r="L25" s="276"/>
    </row>
    <row r="26" spans="1:12" ht="12.75">
      <c r="A26" s="355">
        <v>82.26</v>
      </c>
      <c r="B26" s="453" t="s">
        <v>155</v>
      </c>
      <c r="C26" s="478" t="s">
        <v>107</v>
      </c>
      <c r="D26" s="471" t="s">
        <v>53</v>
      </c>
      <c r="E26" s="453" t="s">
        <v>57</v>
      </c>
      <c r="F26" s="471" t="s">
        <v>100</v>
      </c>
      <c r="G26" s="471" t="s">
        <v>156</v>
      </c>
      <c r="H26" s="482">
        <f>A26/100</f>
        <v>0.8226</v>
      </c>
      <c r="I26" s="478">
        <f>SUM(J19:J25)</f>
        <v>156399.01</v>
      </c>
      <c r="J26" s="494">
        <f>(I26*H26)</f>
        <v>128653.83</v>
      </c>
      <c r="K26" s="489">
        <f t="shared" si="2"/>
        <v>0.30990000000000001</v>
      </c>
      <c r="L26" s="276"/>
    </row>
    <row r="27" spans="1:12" ht="12.75">
      <c r="A27" s="492">
        <v>1</v>
      </c>
      <c r="B27" s="453" t="s">
        <v>157</v>
      </c>
      <c r="C27" s="476">
        <v>1</v>
      </c>
      <c r="D27" s="453" t="s">
        <v>56</v>
      </c>
      <c r="E27" s="476">
        <f>E19+E20+E22+E23+E24+E25</f>
        <v>171</v>
      </c>
      <c r="F27" s="471" t="s">
        <v>160</v>
      </c>
      <c r="G27" s="471" t="s">
        <v>158</v>
      </c>
      <c r="H27" s="476">
        <f t="shared" ref="H27:H32" si="3">E27</f>
        <v>171</v>
      </c>
      <c r="I27" s="487">
        <v>121.84</v>
      </c>
      <c r="J27" s="494">
        <f>(+I27*H27)*A27/C27</f>
        <v>20834.64</v>
      </c>
      <c r="K27" s="489">
        <f t="shared" si="2"/>
        <v>5.0200000000000002E-2</v>
      </c>
      <c r="L27" s="276"/>
    </row>
    <row r="28" spans="1:12" ht="12.75">
      <c r="A28" s="492">
        <v>1</v>
      </c>
      <c r="B28" s="453" t="s">
        <v>159</v>
      </c>
      <c r="C28" s="476">
        <v>6</v>
      </c>
      <c r="D28" s="453" t="s">
        <v>56</v>
      </c>
      <c r="E28" s="476">
        <f>E27</f>
        <v>171</v>
      </c>
      <c r="F28" s="471" t="s">
        <v>163</v>
      </c>
      <c r="G28" s="471" t="s">
        <v>161</v>
      </c>
      <c r="H28" s="476">
        <f t="shared" si="3"/>
        <v>171</v>
      </c>
      <c r="I28" s="197">
        <v>90</v>
      </c>
      <c r="J28" s="494">
        <f>(I28*H28*A28)/C28</f>
        <v>2565</v>
      </c>
      <c r="K28" s="489">
        <f t="shared" si="2"/>
        <v>6.1999999999999998E-3</v>
      </c>
      <c r="L28" s="276"/>
    </row>
    <row r="29" spans="1:12" ht="12.75">
      <c r="A29" s="492">
        <v>1</v>
      </c>
      <c r="B29" s="453" t="s">
        <v>162</v>
      </c>
      <c r="C29" s="476">
        <v>1</v>
      </c>
      <c r="D29" s="453" t="s">
        <v>56</v>
      </c>
      <c r="E29" s="476">
        <f>E19+E20+E22+E23+E24+E25</f>
        <v>171</v>
      </c>
      <c r="F29" s="471" t="s">
        <v>165</v>
      </c>
      <c r="G29" s="471" t="s">
        <v>191</v>
      </c>
      <c r="H29" s="476">
        <f t="shared" si="3"/>
        <v>171</v>
      </c>
      <c r="I29" s="197">
        <v>28</v>
      </c>
      <c r="J29" s="494">
        <f>(+I29*H29)*A29*C29</f>
        <v>4788</v>
      </c>
      <c r="K29" s="489">
        <f t="shared" si="2"/>
        <v>1.15E-2</v>
      </c>
      <c r="L29" s="276"/>
    </row>
    <row r="30" spans="1:12" ht="12.75">
      <c r="A30" s="492">
        <v>1</v>
      </c>
      <c r="B30" s="453" t="s">
        <v>159</v>
      </c>
      <c r="C30" s="476">
        <v>1</v>
      </c>
      <c r="D30" s="453" t="s">
        <v>56</v>
      </c>
      <c r="E30" s="476">
        <f>E27</f>
        <v>171</v>
      </c>
      <c r="F30" s="471" t="s">
        <v>167</v>
      </c>
      <c r="G30" s="471" t="s">
        <v>166</v>
      </c>
      <c r="H30" s="476">
        <f t="shared" si="3"/>
        <v>171</v>
      </c>
      <c r="I30" s="197">
        <v>16</v>
      </c>
      <c r="J30" s="494">
        <f>(+I30*H30)*A30/C30</f>
        <v>2736</v>
      </c>
      <c r="K30" s="489">
        <f t="shared" si="2"/>
        <v>6.6E-3</v>
      </c>
      <c r="L30" s="276"/>
    </row>
    <row r="31" spans="1:12" ht="12.75">
      <c r="A31" s="492">
        <v>52</v>
      </c>
      <c r="B31" s="453" t="s">
        <v>159</v>
      </c>
      <c r="C31" s="478">
        <v>1</v>
      </c>
      <c r="D31" s="453" t="s">
        <v>56</v>
      </c>
      <c r="E31" s="476">
        <f>E27</f>
        <v>171</v>
      </c>
      <c r="F31" s="471" t="s">
        <v>169</v>
      </c>
      <c r="G31" s="471" t="s">
        <v>170</v>
      </c>
      <c r="H31" s="476">
        <f t="shared" si="3"/>
        <v>171</v>
      </c>
      <c r="I31" s="487">
        <v>2.4</v>
      </c>
      <c r="J31" s="494">
        <f>(I31*H31*A31)/C31</f>
        <v>21340.799999999999</v>
      </c>
      <c r="K31" s="489">
        <f t="shared" si="2"/>
        <v>5.1400000000000001E-2</v>
      </c>
      <c r="L31" s="276"/>
    </row>
    <row r="32" spans="1:12" ht="12.75">
      <c r="A32" s="492">
        <v>1</v>
      </c>
      <c r="B32" s="453" t="s">
        <v>159</v>
      </c>
      <c r="C32" s="478">
        <v>1</v>
      </c>
      <c r="D32" s="453" t="s">
        <v>56</v>
      </c>
      <c r="E32" s="476">
        <f>E28</f>
        <v>171</v>
      </c>
      <c r="F32" s="471" t="s">
        <v>171</v>
      </c>
      <c r="G32" s="471" t="s">
        <v>172</v>
      </c>
      <c r="H32" s="476">
        <f t="shared" si="3"/>
        <v>171</v>
      </c>
      <c r="I32" s="487">
        <f>I26</f>
        <v>156399.01</v>
      </c>
      <c r="J32" s="494">
        <f>(I32*0.06)*-1</f>
        <v>-9383.94</v>
      </c>
      <c r="K32" s="489"/>
      <c r="L32" s="276"/>
    </row>
    <row r="33" spans="1:12" ht="12.75">
      <c r="A33" s="492"/>
      <c r="B33" s="453"/>
      <c r="C33" s="476"/>
      <c r="D33" s="453"/>
      <c r="E33" s="476"/>
      <c r="F33" s="471"/>
      <c r="G33" s="471"/>
      <c r="H33" s="632"/>
      <c r="I33" s="638"/>
      <c r="J33" s="623"/>
      <c r="K33" s="489"/>
      <c r="L33" s="276"/>
    </row>
    <row r="34" spans="1:12" ht="12.75">
      <c r="A34" s="490"/>
      <c r="B34" s="466"/>
      <c r="C34" s="478"/>
      <c r="D34" s="466"/>
      <c r="E34" s="466"/>
      <c r="F34" s="485" t="s">
        <v>173</v>
      </c>
      <c r="G34" s="474" t="s">
        <v>299</v>
      </c>
      <c r="H34" s="624"/>
      <c r="I34" s="627"/>
      <c r="J34" s="623">
        <f>SUM(J19:J32)</f>
        <v>327933.34000000003</v>
      </c>
      <c r="K34" s="489"/>
      <c r="L34" s="276"/>
    </row>
    <row r="35" spans="1:12" ht="12.75">
      <c r="A35" s="490"/>
      <c r="B35" s="466"/>
      <c r="C35" s="478"/>
      <c r="D35" s="466"/>
      <c r="E35" s="525"/>
      <c r="F35" s="485"/>
      <c r="G35" s="625"/>
      <c r="H35" s="626"/>
      <c r="I35" s="627"/>
      <c r="J35" s="628"/>
      <c r="K35" s="489"/>
      <c r="L35" s="276"/>
    </row>
    <row r="36" spans="1:12" ht="12.75">
      <c r="A36" s="353">
        <v>1.5</v>
      </c>
      <c r="B36" s="484" t="s">
        <v>155</v>
      </c>
      <c r="C36" s="478"/>
      <c r="D36" s="453"/>
      <c r="E36" s="525"/>
      <c r="F36" s="485" t="s">
        <v>313</v>
      </c>
      <c r="G36" s="529" t="s">
        <v>302</v>
      </c>
      <c r="H36" s="505">
        <f>A36/100</f>
        <v>1.4999999999999999E-2</v>
      </c>
      <c r="I36" s="530">
        <f>J34</f>
        <v>327933.34000000003</v>
      </c>
      <c r="J36" s="488">
        <f>H36*I36</f>
        <v>4919</v>
      </c>
      <c r="K36" s="489">
        <f>J36/J$58</f>
        <v>1.18E-2</v>
      </c>
      <c r="L36" s="276"/>
    </row>
    <row r="37" spans="1:12" ht="12.75">
      <c r="A37" s="470"/>
      <c r="B37" s="466"/>
      <c r="C37" s="495"/>
      <c r="D37" s="466"/>
      <c r="E37" s="466"/>
      <c r="F37" s="466"/>
      <c r="G37" s="466"/>
      <c r="H37" s="466"/>
      <c r="I37" s="495"/>
      <c r="J37" s="506"/>
      <c r="K37" s="629"/>
      <c r="L37" s="276"/>
    </row>
    <row r="38" spans="1:12" ht="12.75">
      <c r="A38" s="459"/>
      <c r="B38" s="460"/>
      <c r="C38" s="462"/>
      <c r="D38" s="460"/>
      <c r="E38" s="460"/>
      <c r="F38" s="497" t="s">
        <v>216</v>
      </c>
      <c r="G38" s="498" t="s">
        <v>314</v>
      </c>
      <c r="H38" s="544"/>
      <c r="I38" s="544"/>
      <c r="J38" s="545">
        <f>SUM(J34:J36)</f>
        <v>332852.34000000003</v>
      </c>
      <c r="K38" s="515">
        <f>J38/J$58</f>
        <v>0.80169999999999997</v>
      </c>
      <c r="L38" s="276"/>
    </row>
    <row r="39" spans="1:12" ht="12.75">
      <c r="A39" s="521"/>
      <c r="B39" s="428"/>
      <c r="C39" s="428"/>
      <c r="D39" s="428"/>
      <c r="E39" s="428"/>
      <c r="F39" s="472"/>
      <c r="G39" s="472"/>
      <c r="H39" s="472"/>
      <c r="I39" s="472"/>
      <c r="J39" s="442"/>
      <c r="K39" s="547"/>
      <c r="L39" s="276"/>
    </row>
    <row r="40" spans="1:12" ht="20.25">
      <c r="A40" s="548" t="s">
        <v>104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09"/>
      <c r="L40" s="276"/>
    </row>
    <row r="41" spans="1:12" ht="20.25">
      <c r="A41" s="521"/>
      <c r="B41" s="428"/>
      <c r="C41" s="428"/>
      <c r="D41" s="428"/>
      <c r="E41" s="428"/>
      <c r="F41" s="428"/>
      <c r="G41" s="473"/>
      <c r="H41" s="428"/>
      <c r="I41" s="428"/>
      <c r="J41" s="428"/>
      <c r="K41" s="412"/>
      <c r="L41" s="276"/>
    </row>
    <row r="42" spans="1:12" ht="12.75">
      <c r="A42" s="538"/>
      <c r="B42" s="448"/>
      <c r="C42" s="447"/>
      <c r="D42" s="447"/>
      <c r="E42" s="447"/>
      <c r="F42" s="551"/>
      <c r="G42" s="552"/>
      <c r="H42" s="456"/>
      <c r="I42" s="449" t="s">
        <v>33</v>
      </c>
      <c r="J42" s="450"/>
      <c r="K42" s="432"/>
      <c r="L42" s="276"/>
    </row>
    <row r="43" spans="1:12" ht="12.75">
      <c r="A43" s="521"/>
      <c r="B43" s="540"/>
      <c r="C43" s="453" t="s">
        <v>44</v>
      </c>
      <c r="D43" s="453" t="s">
        <v>36</v>
      </c>
      <c r="E43" s="453" t="s">
        <v>38</v>
      </c>
      <c r="F43" s="642" t="s">
        <v>39</v>
      </c>
      <c r="G43" s="643"/>
      <c r="H43" s="453" t="s">
        <v>40</v>
      </c>
      <c r="I43" s="453" t="s">
        <v>41</v>
      </c>
      <c r="J43" s="454" t="s">
        <v>42</v>
      </c>
      <c r="K43" s="432"/>
      <c r="L43" s="276"/>
    </row>
    <row r="44" spans="1:12" ht="12.75">
      <c r="A44" s="521"/>
      <c r="B44" s="540"/>
      <c r="C44" s="460"/>
      <c r="D44" s="460"/>
      <c r="E44" s="460"/>
      <c r="F44" s="463"/>
      <c r="G44" s="441"/>
      <c r="H44" s="468"/>
      <c r="I44" s="462" t="s">
        <v>43</v>
      </c>
      <c r="J44" s="463"/>
      <c r="K44" s="553"/>
      <c r="L44" s="276"/>
    </row>
    <row r="45" spans="1:12" ht="12.75">
      <c r="A45" s="521"/>
      <c r="B45" s="540"/>
      <c r="C45" s="466"/>
      <c r="D45" s="466"/>
      <c r="E45" s="471" t="s">
        <v>114</v>
      </c>
      <c r="F45" s="554" t="s">
        <v>282</v>
      </c>
      <c r="G45" s="421"/>
      <c r="H45" s="555"/>
      <c r="I45" s="478">
        <f>J38</f>
        <v>332852.34000000003</v>
      </c>
      <c r="J45" s="556">
        <f>J38</f>
        <v>332852.34000000003</v>
      </c>
      <c r="K45" s="432"/>
      <c r="L45" s="276"/>
    </row>
    <row r="46" spans="1:12" ht="12.75">
      <c r="A46" s="521"/>
      <c r="B46" s="540"/>
      <c r="C46" s="493"/>
      <c r="D46" s="453"/>
      <c r="E46" s="471"/>
      <c r="F46" s="529"/>
      <c r="G46" s="546"/>
      <c r="H46" s="477"/>
      <c r="I46" s="495"/>
      <c r="J46" s="494"/>
      <c r="K46" s="489"/>
      <c r="L46" s="276"/>
    </row>
    <row r="47" spans="1:12" ht="12.75">
      <c r="A47" s="521"/>
      <c r="B47" s="540"/>
      <c r="C47" s="179">
        <v>5.5</v>
      </c>
      <c r="D47" s="453" t="s">
        <v>21</v>
      </c>
      <c r="E47" s="471" t="s">
        <v>117</v>
      </c>
      <c r="F47" s="529" t="s">
        <v>106</v>
      </c>
      <c r="G47" s="546"/>
      <c r="H47" s="477">
        <f>(C47/100)</f>
        <v>5.5E-2</v>
      </c>
      <c r="I47" s="495"/>
      <c r="J47" s="494">
        <f>(+J45*H47)</f>
        <v>18306.88</v>
      </c>
      <c r="K47" s="489">
        <f>J47/J$58</f>
        <v>4.41E-2</v>
      </c>
      <c r="L47" s="276"/>
    </row>
    <row r="48" spans="1:12" ht="12.75">
      <c r="A48" s="521"/>
      <c r="B48" s="540"/>
      <c r="C48" s="478" t="s">
        <v>107</v>
      </c>
      <c r="D48" s="466"/>
      <c r="E48" s="466"/>
      <c r="F48" s="474"/>
      <c r="G48" s="428"/>
      <c r="H48" s="477"/>
      <c r="I48" s="478"/>
      <c r="J48" s="494"/>
      <c r="K48" s="558"/>
      <c r="L48" s="276"/>
    </row>
    <row r="49" spans="1:12" ht="12.75">
      <c r="A49" s="521"/>
      <c r="B49" s="540"/>
      <c r="C49" s="559"/>
      <c r="D49" s="466"/>
      <c r="E49" s="471" t="s">
        <v>120</v>
      </c>
      <c r="F49" s="529" t="s">
        <v>289</v>
      </c>
      <c r="G49" s="428"/>
      <c r="H49" s="477"/>
      <c r="I49" s="495"/>
      <c r="J49" s="494">
        <f>SUM(J45:J47)</f>
        <v>351159.22</v>
      </c>
      <c r="K49" s="489"/>
      <c r="L49" s="276"/>
    </row>
    <row r="50" spans="1:12" ht="12.75">
      <c r="A50" s="521"/>
      <c r="B50" s="540"/>
      <c r="C50" s="478">
        <v>0</v>
      </c>
      <c r="D50" s="453" t="s">
        <v>21</v>
      </c>
      <c r="E50" s="471" t="s">
        <v>121</v>
      </c>
      <c r="F50" s="529" t="s">
        <v>110</v>
      </c>
      <c r="G50" s="546"/>
      <c r="H50" s="477">
        <f>(C50/100)</f>
        <v>0</v>
      </c>
      <c r="I50" s="530">
        <f>J49</f>
        <v>351159.22</v>
      </c>
      <c r="J50" s="494">
        <f>(+J49*H50)</f>
        <v>0</v>
      </c>
      <c r="K50" s="489">
        <f>J50/J$58</f>
        <v>0</v>
      </c>
      <c r="L50" s="276"/>
    </row>
    <row r="51" spans="1:12" ht="12.75">
      <c r="A51" s="521"/>
      <c r="B51" s="540"/>
      <c r="C51" s="478" t="s">
        <v>107</v>
      </c>
      <c r="D51" s="466"/>
      <c r="E51" s="466"/>
      <c r="F51" s="474"/>
      <c r="G51" s="428"/>
      <c r="H51" s="477"/>
      <c r="I51" s="478"/>
      <c r="J51" s="494"/>
      <c r="K51" s="558"/>
      <c r="L51" s="276"/>
    </row>
    <row r="52" spans="1:12" ht="12.75">
      <c r="A52" s="521"/>
      <c r="B52" s="540"/>
      <c r="C52" s="478" t="s">
        <v>107</v>
      </c>
      <c r="D52" s="466"/>
      <c r="E52" s="471" t="s">
        <v>122</v>
      </c>
      <c r="F52" s="529" t="s">
        <v>290</v>
      </c>
      <c r="G52" s="428"/>
      <c r="H52" s="477"/>
      <c r="I52" s="495"/>
      <c r="J52" s="494">
        <f>SUM(J49:J50)</f>
        <v>351159.22</v>
      </c>
      <c r="K52" s="558"/>
      <c r="L52" s="276"/>
    </row>
    <row r="53" spans="1:12" ht="12.75">
      <c r="A53" s="521"/>
      <c r="B53" s="540"/>
      <c r="C53" s="179">
        <v>9</v>
      </c>
      <c r="D53" s="453" t="s">
        <v>21</v>
      </c>
      <c r="E53" s="471" t="s">
        <v>123</v>
      </c>
      <c r="F53" s="529" t="s">
        <v>292</v>
      </c>
      <c r="G53" s="546"/>
      <c r="H53" s="477">
        <f>(C53/100)</f>
        <v>0.09</v>
      </c>
      <c r="I53" s="530">
        <f>J52</f>
        <v>351159.22</v>
      </c>
      <c r="J53" s="494">
        <f>(+J52*H53)</f>
        <v>31604.33</v>
      </c>
      <c r="K53" s="489">
        <f>J53/J$58</f>
        <v>7.6100000000000001E-2</v>
      </c>
      <c r="L53" s="276"/>
    </row>
    <row r="54" spans="1:12" ht="12.75">
      <c r="A54" s="521"/>
      <c r="B54" s="540"/>
      <c r="C54" s="478" t="s">
        <v>107</v>
      </c>
      <c r="D54" s="466"/>
      <c r="E54" s="466"/>
      <c r="F54" s="474"/>
      <c r="G54" s="428"/>
      <c r="H54" s="477"/>
      <c r="I54" s="495"/>
      <c r="J54" s="494"/>
      <c r="K54" s="558"/>
      <c r="L54" s="276"/>
    </row>
    <row r="55" spans="1:12" ht="12.75">
      <c r="A55" s="521"/>
      <c r="B55" s="540"/>
      <c r="C55" s="478" t="s">
        <v>107</v>
      </c>
      <c r="D55" s="466"/>
      <c r="E55" s="471" t="s">
        <v>125</v>
      </c>
      <c r="F55" s="529" t="s">
        <v>128</v>
      </c>
      <c r="G55" s="428"/>
      <c r="H55" s="477"/>
      <c r="I55" s="495"/>
      <c r="J55" s="494">
        <f>SUM(J52:J53)</f>
        <v>382763.55</v>
      </c>
      <c r="K55" s="558"/>
      <c r="L55" s="276"/>
    </row>
    <row r="56" spans="1:12" ht="12.75">
      <c r="A56" s="521"/>
      <c r="B56" s="540"/>
      <c r="C56" s="197">
        <f>(15%*C53)+(9%*C53)+3.65+2</f>
        <v>7.81</v>
      </c>
      <c r="D56" s="453" t="s">
        <v>21</v>
      </c>
      <c r="E56" s="471" t="s">
        <v>131</v>
      </c>
      <c r="F56" s="529" t="s">
        <v>119</v>
      </c>
      <c r="G56" s="546"/>
      <c r="H56" s="477">
        <f>(C56/100)</f>
        <v>7.8100000000000003E-2</v>
      </c>
      <c r="I56" s="495"/>
      <c r="J56" s="494">
        <f>(+J58*H56)</f>
        <v>32426.33</v>
      </c>
      <c r="K56" s="489">
        <f>J56/J$58</f>
        <v>7.8100000000000003E-2</v>
      </c>
      <c r="L56" s="276"/>
    </row>
    <row r="57" spans="1:12" ht="12.75">
      <c r="A57" s="521"/>
      <c r="B57" s="540"/>
      <c r="C57" s="478" t="s">
        <v>107</v>
      </c>
      <c r="D57" s="466"/>
      <c r="E57" s="466"/>
      <c r="F57" s="474"/>
      <c r="G57" s="428"/>
      <c r="H57" s="495"/>
      <c r="I57" s="495"/>
      <c r="J57" s="494"/>
      <c r="K57" s="558"/>
      <c r="L57" s="276"/>
    </row>
    <row r="58" spans="1:12" ht="16.5" thickBot="1">
      <c r="A58" s="582"/>
      <c r="B58" s="583"/>
      <c r="C58" s="584" t="s">
        <v>107</v>
      </c>
      <c r="D58" s="585"/>
      <c r="E58" s="586" t="s">
        <v>127</v>
      </c>
      <c r="F58" s="587" t="s">
        <v>291</v>
      </c>
      <c r="G58" s="588"/>
      <c r="H58" s="588"/>
      <c r="I58" s="588"/>
      <c r="J58" s="636">
        <f>J55/(1-H56)</f>
        <v>415189.88</v>
      </c>
      <c r="K58" s="590">
        <f>J58/J$58</f>
        <v>1</v>
      </c>
      <c r="L58" s="276"/>
    </row>
    <row r="60" spans="1:12" ht="15.75">
      <c r="A60" s="30" t="s">
        <v>135</v>
      </c>
    </row>
    <row r="62" spans="1:12" ht="15.75">
      <c r="A62" s="30" t="str">
        <f>'Ônibus Equipe Capina'!A71</f>
        <v>Patos de Minas-MG, 01 de novembro de 2016</v>
      </c>
      <c r="G62" s="13"/>
    </row>
    <row r="63" spans="1:12" ht="12.75" thickBot="1">
      <c r="F63" s="694"/>
      <c r="G63" s="694"/>
      <c r="H63" s="694"/>
      <c r="I63" s="694"/>
    </row>
    <row r="64" spans="1:12" ht="12.75" thickTop="1">
      <c r="A64" s="217"/>
      <c r="B64" s="217"/>
      <c r="C64" s="217"/>
      <c r="D64" s="217"/>
      <c r="E64" s="217"/>
      <c r="F64" s="1" t="s">
        <v>346</v>
      </c>
      <c r="J64" s="217"/>
    </row>
    <row r="65" spans="3:6">
      <c r="F65" s="1" t="s">
        <v>347</v>
      </c>
    </row>
    <row r="68" spans="3:6">
      <c r="C68" s="277"/>
    </row>
    <row r="88" ht="2.25" customHeight="1"/>
    <row r="89" ht="12.75" customHeight="1"/>
    <row r="90" ht="0.75" customHeight="1"/>
    <row r="115" spans="1:12" ht="12.75">
      <c r="L115" s="218"/>
    </row>
    <row r="116" spans="1:12" ht="12.75">
      <c r="L116" s="218"/>
    </row>
    <row r="117" spans="1:12" ht="12.75">
      <c r="L117" s="218"/>
    </row>
    <row r="118" spans="1:12" ht="12.75">
      <c r="L118" s="218"/>
    </row>
    <row r="119" spans="1:12" ht="12.75">
      <c r="L119" s="2"/>
    </row>
    <row r="120" spans="1:12" ht="12.75">
      <c r="A120" s="218"/>
      <c r="B120" s="218"/>
      <c r="C120" s="218"/>
      <c r="D120" s="218"/>
      <c r="E120" s="222"/>
      <c r="F120" s="222"/>
      <c r="G120" s="222"/>
      <c r="H120" s="222"/>
      <c r="I120" s="222"/>
      <c r="J120" s="222"/>
      <c r="K120" s="222"/>
    </row>
    <row r="121" spans="1:12" ht="12.75">
      <c r="A121" s="218"/>
      <c r="B121" s="218"/>
      <c r="C121" s="218"/>
      <c r="D121" s="218"/>
      <c r="E121" s="218"/>
      <c r="F121" s="218"/>
      <c r="G121" s="218"/>
      <c r="H121" s="218"/>
      <c r="I121" s="218"/>
      <c r="J121" s="223"/>
      <c r="K121" s="223"/>
      <c r="L121" s="130"/>
    </row>
    <row r="122" spans="1:12" ht="12.75">
      <c r="A122" s="218"/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</row>
    <row r="123" spans="1:12" ht="12.75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</row>
    <row r="124" spans="1:12" ht="12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</row>
    <row r="125" spans="1:12" ht="12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2" ht="12.75">
      <c r="A126" s="2"/>
      <c r="B126" s="2"/>
      <c r="C126" s="2"/>
      <c r="D126" s="2"/>
      <c r="E126" s="224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25"/>
      <c r="F127" s="225"/>
      <c r="G127" s="225"/>
      <c r="H127" s="225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25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5"/>
      <c r="C132" s="2"/>
      <c r="D132" s="221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21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6"/>
      <c r="C138" s="4"/>
      <c r="D138" s="226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4"/>
    </row>
    <row r="142" spans="1:12">
      <c r="A142" s="4"/>
      <c r="B142" s="4"/>
      <c r="C142" s="6"/>
      <c r="D142" s="4"/>
      <c r="E142" s="4"/>
      <c r="F142" s="4"/>
      <c r="G142" s="227"/>
      <c r="H142" s="227"/>
      <c r="L142" s="4"/>
    </row>
    <row r="143" spans="1:12">
      <c r="A143" s="7"/>
      <c r="B143" s="7"/>
      <c r="C143" s="7"/>
      <c r="D143" s="7"/>
      <c r="E143" s="7"/>
      <c r="F143" s="7"/>
      <c r="G143" s="7"/>
      <c r="H143" s="7"/>
      <c r="L143" s="4"/>
    </row>
    <row r="144" spans="1:12">
      <c r="A144" s="4"/>
      <c r="B144" s="4"/>
      <c r="C144" s="4"/>
      <c r="D144" s="4"/>
      <c r="E144" s="4"/>
      <c r="F144" s="4"/>
      <c r="G144" s="4"/>
      <c r="H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L145" s="4"/>
    </row>
    <row r="146" spans="1:12">
      <c r="B146" s="228"/>
      <c r="C146" s="229"/>
      <c r="G146" s="230"/>
      <c r="H146" s="229"/>
      <c r="L146" s="4"/>
    </row>
    <row r="147" spans="1:12">
      <c r="G147" s="231"/>
      <c r="L147" s="4"/>
    </row>
    <row r="148" spans="1:12">
      <c r="G148" s="231"/>
      <c r="L148" s="4"/>
    </row>
    <row r="149" spans="1:12">
      <c r="B149" s="228"/>
      <c r="C149" s="229"/>
      <c r="G149" s="230"/>
      <c r="H149" s="229"/>
      <c r="L149" s="4"/>
    </row>
    <row r="150" spans="1:12">
      <c r="G150" s="20"/>
      <c r="L150" s="4"/>
    </row>
    <row r="151" spans="1:12">
      <c r="G151" s="20"/>
      <c r="L151" s="4"/>
    </row>
    <row r="152" spans="1:12">
      <c r="B152" s="3"/>
      <c r="C152" s="232"/>
      <c r="G152" s="230"/>
      <c r="H152" s="229"/>
      <c r="L152" s="4"/>
    </row>
    <row r="153" spans="1:12">
      <c r="G153" s="20"/>
      <c r="L153" s="4"/>
    </row>
    <row r="154" spans="1:12">
      <c r="G154" s="20"/>
      <c r="L154" s="4"/>
    </row>
    <row r="155" spans="1:12">
      <c r="B155" s="3"/>
      <c r="C155" s="233"/>
      <c r="G155" s="230"/>
      <c r="H155" s="234"/>
      <c r="L155" s="4"/>
    </row>
    <row r="156" spans="1:12">
      <c r="J156" s="4"/>
      <c r="K156" s="4"/>
      <c r="L156" s="4"/>
    </row>
    <row r="157" spans="1:12">
      <c r="A157" s="235"/>
      <c r="B157" s="235"/>
      <c r="C157" s="235"/>
      <c r="D157" s="235"/>
      <c r="E157" s="235"/>
      <c r="F157" s="235"/>
      <c r="G157" s="235"/>
      <c r="H157" s="235"/>
      <c r="I157" s="235"/>
      <c r="J157" s="7"/>
      <c r="K157" s="7"/>
      <c r="L157" s="4"/>
    </row>
    <row r="158" spans="1:12">
      <c r="J158" s="4"/>
      <c r="K158" s="4"/>
      <c r="L158" s="4"/>
    </row>
    <row r="159" spans="1:12">
      <c r="B159" s="228"/>
      <c r="D159" s="234"/>
      <c r="J159" s="4"/>
      <c r="K159" s="4"/>
      <c r="L159" s="4"/>
    </row>
    <row r="160" spans="1:12">
      <c r="J160" s="4"/>
      <c r="K160" s="4"/>
      <c r="L160" s="4"/>
    </row>
    <row r="161" spans="1:12">
      <c r="A161" s="235"/>
      <c r="B161" s="235"/>
      <c r="C161" s="235"/>
      <c r="D161" s="235"/>
      <c r="E161" s="235"/>
      <c r="F161" s="235"/>
      <c r="G161" s="235"/>
      <c r="H161" s="235"/>
      <c r="I161" s="235"/>
      <c r="J161" s="7"/>
      <c r="K161" s="7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</sheetData>
  <mergeCells count="3">
    <mergeCell ref="A1:K1"/>
    <mergeCell ref="A5:J5"/>
    <mergeCell ref="F43:G43"/>
  </mergeCells>
  <phoneticPr fontId="35" type="noConversion"/>
  <printOptions horizontalCentered="1" verticalCentered="1"/>
  <pageMargins left="0" right="0" top="0.39370078740157483" bottom="0.19685039370078741" header="0.31496062992125984" footer="0.31496062992125984"/>
  <pageSetup paperSize="9" scale="70" orientation="portrait" r:id="rId1"/>
  <headerFooter alignWithMargins="0">
    <oddHeader>Página &amp;P de &amp;N</oddHeader>
  </headerFooter>
  <ignoredErrors>
    <ignoredError sqref="N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6"/>
  <sheetViews>
    <sheetView topLeftCell="A36" workbookViewId="0">
      <selection activeCell="F64" sqref="F64:I66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7.25" style="1" customWidth="1"/>
    <col min="12" max="12" width="0.875" style="1" customWidth="1"/>
    <col min="13" max="22" width="11" style="1" customWidth="1"/>
    <col min="23" max="23" width="8.875" style="1" customWidth="1"/>
    <col min="24" max="16384" width="11" style="1"/>
  </cols>
  <sheetData>
    <row r="1" spans="1:28" ht="22.5" customHeight="1" thickBot="1">
      <c r="A1" s="659" t="s">
        <v>136</v>
      </c>
      <c r="B1" s="660"/>
      <c r="C1" s="660"/>
      <c r="D1" s="660"/>
      <c r="E1" s="660"/>
      <c r="F1" s="660"/>
      <c r="G1" s="660"/>
      <c r="H1" s="660"/>
      <c r="I1" s="660"/>
      <c r="J1" s="660"/>
      <c r="K1" s="661"/>
      <c r="L1" s="38"/>
      <c r="M1" s="662" t="str">
        <f>A1</f>
        <v>CUSTO   DE   CAMINHÃO   BASCULANTE   -   EQUIPE   MULTI   USO</v>
      </c>
      <c r="N1" s="663"/>
      <c r="O1" s="663"/>
      <c r="P1" s="663"/>
      <c r="Q1" s="663"/>
      <c r="R1" s="663"/>
      <c r="S1" s="663"/>
      <c r="T1" s="663"/>
      <c r="U1" s="663"/>
      <c r="V1" s="663"/>
      <c r="W1" s="664"/>
    </row>
    <row r="2" spans="1:28" ht="20.25">
      <c r="A2" s="39" t="s">
        <v>20</v>
      </c>
      <c r="B2" s="40"/>
      <c r="C2" s="41"/>
      <c r="D2" s="40"/>
      <c r="E2" s="40"/>
      <c r="F2" s="40"/>
      <c r="G2" s="42"/>
      <c r="H2" s="40"/>
      <c r="I2" s="40"/>
      <c r="J2" s="40"/>
      <c r="K2" s="43"/>
      <c r="L2" s="38"/>
      <c r="M2" s="44" t="str">
        <f>A2</f>
        <v xml:space="preserve">DEMONSTRATIVO MENSAL DE CUSTO OPERACIONAL UNITÁRIO DE VEÍCULO </v>
      </c>
      <c r="N2" s="45"/>
      <c r="O2" s="45"/>
      <c r="P2" s="45"/>
      <c r="Q2" s="45"/>
      <c r="R2" s="45"/>
      <c r="S2" s="46"/>
      <c r="T2" s="45"/>
      <c r="U2" s="45"/>
      <c r="V2" s="45"/>
      <c r="W2" s="47"/>
    </row>
    <row r="3" spans="1:28" ht="21" thickBot="1">
      <c r="A3" s="48" t="s">
        <v>137</v>
      </c>
      <c r="B3" s="49"/>
      <c r="C3" s="49"/>
      <c r="D3" s="49"/>
      <c r="E3" s="50"/>
      <c r="F3" s="49"/>
      <c r="G3" s="49"/>
      <c r="H3" s="49"/>
      <c r="I3" s="49"/>
      <c r="J3" s="49"/>
      <c r="K3" s="51" t="s">
        <v>21</v>
      </c>
      <c r="L3" s="38"/>
      <c r="M3" s="52" t="s">
        <v>22</v>
      </c>
      <c r="N3" s="53"/>
      <c r="O3" s="53"/>
      <c r="P3" s="53"/>
      <c r="Q3" s="53"/>
      <c r="R3" s="53"/>
      <c r="S3" s="53"/>
      <c r="T3" s="53"/>
      <c r="U3" s="53"/>
      <c r="V3" s="53"/>
      <c r="W3" s="54" t="s">
        <v>21</v>
      </c>
    </row>
    <row r="4" spans="1:28" ht="12.75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  <c r="L4" s="38"/>
      <c r="M4" s="58" t="str">
        <f>A6</f>
        <v>Descrição do Veiculo: CAMINHÃO   BASCULANTE   -   Tipo   MBB 1618  ou   SIMILAR</v>
      </c>
      <c r="N4" s="59"/>
      <c r="O4" s="59"/>
      <c r="P4" s="59"/>
      <c r="Q4" s="59"/>
      <c r="R4" s="59"/>
      <c r="S4" s="59"/>
      <c r="T4" s="59"/>
      <c r="U4" s="59"/>
      <c r="V4" s="60"/>
      <c r="W4" s="61"/>
    </row>
    <row r="5" spans="1:28" ht="20.25">
      <c r="A5" s="665" t="s">
        <v>23</v>
      </c>
      <c r="B5" s="666"/>
      <c r="C5" s="666"/>
      <c r="D5" s="666"/>
      <c r="E5" s="666"/>
      <c r="F5" s="666"/>
      <c r="G5" s="666"/>
      <c r="H5" s="666"/>
      <c r="I5" s="666"/>
      <c r="J5" s="667"/>
      <c r="K5" s="62"/>
      <c r="L5" s="38"/>
      <c r="M5" s="63" t="str">
        <f>A7</f>
        <v>Ano de Fabricação: 2006</v>
      </c>
      <c r="N5" s="64"/>
      <c r="O5" s="64" t="str">
        <f>A9</f>
        <v>Contratante:</v>
      </c>
      <c r="P5" s="65" t="str">
        <f>B9</f>
        <v>PREFEITURA   MUNICIPAL   DE   PATOS   DE   MINAS - MG</v>
      </c>
      <c r="Q5" s="66"/>
      <c r="R5" s="64"/>
      <c r="S5" s="64"/>
      <c r="T5" s="64"/>
      <c r="U5" s="64"/>
      <c r="V5" s="67"/>
      <c r="W5" s="57"/>
    </row>
    <row r="6" spans="1:28" ht="12.75">
      <c r="A6" s="58" t="s">
        <v>24</v>
      </c>
      <c r="B6" s="59"/>
      <c r="C6" s="59"/>
      <c r="D6" s="59"/>
      <c r="E6" s="68"/>
      <c r="F6" s="59"/>
      <c r="G6" s="59"/>
      <c r="H6" s="59"/>
      <c r="I6" s="59"/>
      <c r="J6" s="60"/>
      <c r="K6" s="69"/>
      <c r="L6" s="38"/>
      <c r="M6" s="63" t="str">
        <f>A8</f>
        <v>Tipo de Combustível: Diesel</v>
      </c>
      <c r="N6" s="64"/>
      <c r="O6" s="64"/>
      <c r="P6" s="64"/>
      <c r="Q6" s="70"/>
      <c r="R6" s="64"/>
      <c r="S6" s="64"/>
      <c r="T6" s="64"/>
      <c r="U6" s="64"/>
      <c r="V6" s="67"/>
      <c r="W6" s="57"/>
    </row>
    <row r="7" spans="1:28" ht="12.75">
      <c r="A7" s="63" t="s">
        <v>343</v>
      </c>
      <c r="B7" s="64"/>
      <c r="C7" s="64"/>
      <c r="D7" s="64"/>
      <c r="E7" s="64"/>
      <c r="F7" s="64"/>
      <c r="G7" s="64"/>
      <c r="H7" s="64"/>
      <c r="I7" s="64"/>
      <c r="J7" s="67"/>
      <c r="K7" s="71"/>
      <c r="L7" s="38"/>
      <c r="M7" s="72" t="str">
        <f>A10</f>
        <v xml:space="preserve">Km Estimada: </v>
      </c>
      <c r="N7" s="67"/>
      <c r="O7" s="73">
        <f>C10</f>
        <v>2500</v>
      </c>
      <c r="P7" s="67" t="str">
        <f>D10</f>
        <v>Km</v>
      </c>
      <c r="Q7" s="67"/>
      <c r="R7" s="67"/>
      <c r="S7" s="67"/>
      <c r="T7" s="67"/>
      <c r="U7" s="67"/>
      <c r="V7" s="67"/>
      <c r="W7" s="57"/>
    </row>
    <row r="8" spans="1:28" ht="12.75">
      <c r="A8" s="63" t="s">
        <v>25</v>
      </c>
      <c r="B8" s="64"/>
      <c r="C8" s="64"/>
      <c r="D8" s="64"/>
      <c r="E8" s="64"/>
      <c r="F8" s="64"/>
      <c r="G8" s="64"/>
      <c r="H8" s="64" t="s">
        <v>26</v>
      </c>
      <c r="I8" s="74">
        <v>0</v>
      </c>
      <c r="J8" s="67"/>
      <c r="K8" s="71"/>
      <c r="L8" s="38"/>
      <c r="M8" s="75" t="str">
        <f>A11</f>
        <v>Horário:</v>
      </c>
      <c r="N8" s="76">
        <v>0.33333333333333298</v>
      </c>
      <c r="O8" s="77" t="s">
        <v>27</v>
      </c>
      <c r="P8" s="76">
        <f>D11</f>
        <v>0.70833333333333304</v>
      </c>
      <c r="Q8" s="78" t="s">
        <v>28</v>
      </c>
      <c r="R8" s="79"/>
      <c r="S8" s="80"/>
      <c r="T8" s="80"/>
      <c r="U8" s="80"/>
      <c r="V8" s="80"/>
      <c r="W8" s="57"/>
    </row>
    <row r="9" spans="1:28" ht="15.75">
      <c r="A9" s="63" t="s">
        <v>29</v>
      </c>
      <c r="B9" s="65" t="s">
        <v>30</v>
      </c>
      <c r="C9" s="64"/>
      <c r="D9" s="64"/>
      <c r="E9" s="64"/>
      <c r="F9" s="64"/>
      <c r="G9" s="64"/>
      <c r="H9" s="64"/>
      <c r="I9" s="74"/>
      <c r="J9" s="67"/>
      <c r="K9" s="71"/>
      <c r="L9" s="38"/>
      <c r="M9" s="72"/>
      <c r="N9" s="81"/>
      <c r="O9" s="82"/>
      <c r="P9" s="81"/>
      <c r="Q9" s="83"/>
      <c r="R9" s="81"/>
      <c r="S9" s="67"/>
      <c r="T9" s="67"/>
      <c r="U9" s="67"/>
      <c r="V9" s="67"/>
      <c r="W9" s="57"/>
    </row>
    <row r="10" spans="1:28" ht="12.75">
      <c r="A10" s="63" t="s">
        <v>31</v>
      </c>
      <c r="B10" s="84"/>
      <c r="C10" s="85">
        <v>2500</v>
      </c>
      <c r="D10" s="64" t="s">
        <v>32</v>
      </c>
      <c r="E10" s="84"/>
      <c r="F10" s="84"/>
      <c r="G10" s="67"/>
      <c r="H10" s="67"/>
      <c r="I10" s="67"/>
      <c r="J10" s="67"/>
      <c r="K10" s="71"/>
      <c r="L10" s="38"/>
      <c r="M10" s="86"/>
      <c r="N10" s="87"/>
      <c r="O10" s="87"/>
      <c r="P10" s="87"/>
      <c r="Q10" s="87"/>
      <c r="R10" s="60"/>
      <c r="S10" s="88"/>
      <c r="T10" s="87"/>
      <c r="U10" s="89" t="s">
        <v>33</v>
      </c>
      <c r="V10" s="90"/>
      <c r="W10" s="57"/>
      <c r="AB10" s="1">
        <f>180.55*20</f>
        <v>3611</v>
      </c>
    </row>
    <row r="11" spans="1:28" ht="12.75">
      <c r="A11" s="75" t="s">
        <v>34</v>
      </c>
      <c r="B11" s="91">
        <v>0.29166666666666702</v>
      </c>
      <c r="C11" s="77" t="s">
        <v>27</v>
      </c>
      <c r="D11" s="91">
        <v>0.70833333333333304</v>
      </c>
      <c r="E11" s="78" t="s">
        <v>28</v>
      </c>
      <c r="F11" s="79" t="s">
        <v>138</v>
      </c>
      <c r="G11" s="80"/>
      <c r="H11" s="80"/>
      <c r="I11" s="80"/>
      <c r="J11" s="80"/>
      <c r="K11" s="71"/>
      <c r="L11" s="38"/>
      <c r="M11" s="16" t="s">
        <v>35</v>
      </c>
      <c r="N11" s="12" t="s">
        <v>36</v>
      </c>
      <c r="O11" s="12" t="s">
        <v>37</v>
      </c>
      <c r="P11" s="12" t="s">
        <v>36</v>
      </c>
      <c r="Q11" s="12" t="s">
        <v>38</v>
      </c>
      <c r="R11" s="657" t="s">
        <v>39</v>
      </c>
      <c r="S11" s="658"/>
      <c r="T11" s="12" t="s">
        <v>40</v>
      </c>
      <c r="U11" s="12" t="s">
        <v>41</v>
      </c>
      <c r="V11" s="92" t="s">
        <v>42</v>
      </c>
      <c r="W11" s="57"/>
      <c r="AB11" s="1">
        <f>1120.82*4</f>
        <v>4483.28</v>
      </c>
    </row>
    <row r="12" spans="1:28" ht="12.75">
      <c r="A12" s="14"/>
      <c r="B12" s="15"/>
      <c r="C12" s="15"/>
      <c r="D12" s="15"/>
      <c r="E12" s="15"/>
      <c r="F12" s="15"/>
      <c r="G12" s="15"/>
      <c r="H12" s="15"/>
      <c r="I12" s="89" t="s">
        <v>33</v>
      </c>
      <c r="J12" s="93"/>
      <c r="K12" s="94"/>
      <c r="L12" s="38"/>
      <c r="M12" s="95"/>
      <c r="N12" s="96"/>
      <c r="O12" s="96"/>
      <c r="P12" s="96"/>
      <c r="Q12" s="96"/>
      <c r="R12" s="80"/>
      <c r="S12" s="97"/>
      <c r="T12" s="96"/>
      <c r="U12" s="98" t="s">
        <v>43</v>
      </c>
      <c r="V12" s="99"/>
      <c r="W12" s="100"/>
    </row>
    <row r="13" spans="1:28" ht="12.75">
      <c r="A13" s="16" t="s">
        <v>44</v>
      </c>
      <c r="B13" s="12" t="s">
        <v>36</v>
      </c>
      <c r="C13" s="12" t="s">
        <v>45</v>
      </c>
      <c r="D13" s="12" t="s">
        <v>36</v>
      </c>
      <c r="E13" s="12" t="s">
        <v>35</v>
      </c>
      <c r="F13" s="12" t="s">
        <v>38</v>
      </c>
      <c r="G13" s="12" t="s">
        <v>39</v>
      </c>
      <c r="H13" s="12" t="s">
        <v>40</v>
      </c>
      <c r="I13" s="12" t="s">
        <v>41</v>
      </c>
      <c r="J13" s="92" t="s">
        <v>42</v>
      </c>
      <c r="K13" s="101"/>
      <c r="L13" s="38"/>
      <c r="M13" s="86"/>
      <c r="N13" s="87"/>
      <c r="O13" s="87"/>
      <c r="P13" s="102"/>
      <c r="Q13" s="102"/>
      <c r="R13" s="67"/>
      <c r="S13" s="67"/>
      <c r="T13" s="87"/>
      <c r="U13" s="102"/>
      <c r="V13" s="90"/>
      <c r="W13" s="57"/>
      <c r="AB13" s="1">
        <f>SUM(AB10:AB12)</f>
        <v>8094.28</v>
      </c>
    </row>
    <row r="14" spans="1:28" ht="12.75">
      <c r="A14" s="103"/>
      <c r="B14" s="104"/>
      <c r="C14" s="104"/>
      <c r="D14" s="104"/>
      <c r="E14" s="104"/>
      <c r="F14" s="104"/>
      <c r="G14" s="104"/>
      <c r="H14" s="104"/>
      <c r="I14" s="98" t="s">
        <v>43</v>
      </c>
      <c r="J14" s="105"/>
      <c r="K14" s="94"/>
      <c r="L14" s="38"/>
      <c r="M14" s="106"/>
      <c r="N14" s="102"/>
      <c r="O14" s="102"/>
      <c r="P14" s="102"/>
      <c r="Q14" s="107" t="s">
        <v>46</v>
      </c>
      <c r="R14" s="108" t="s">
        <v>47</v>
      </c>
      <c r="S14" s="109"/>
      <c r="T14" s="102"/>
      <c r="U14" s="102"/>
      <c r="V14" s="92" t="s">
        <v>42</v>
      </c>
      <c r="W14" s="57"/>
    </row>
    <row r="15" spans="1:28" ht="12.75">
      <c r="A15" s="106"/>
      <c r="B15" s="102"/>
      <c r="C15" s="102"/>
      <c r="D15" s="102"/>
      <c r="E15" s="102"/>
      <c r="F15" s="102"/>
      <c r="G15" s="102"/>
      <c r="H15" s="102"/>
      <c r="I15" s="102"/>
      <c r="J15" s="110"/>
      <c r="K15" s="71"/>
      <c r="L15" s="38"/>
      <c r="M15" s="106"/>
      <c r="N15" s="102"/>
      <c r="O15" s="102"/>
      <c r="P15" s="102"/>
      <c r="Q15" s="102"/>
      <c r="R15" s="67"/>
      <c r="S15" s="109"/>
      <c r="T15" s="102"/>
      <c r="U15" s="111"/>
      <c r="V15" s="110"/>
      <c r="W15" s="57"/>
    </row>
    <row r="16" spans="1:28" ht="12.75">
      <c r="A16" s="106"/>
      <c r="B16" s="102"/>
      <c r="C16" s="102"/>
      <c r="D16" s="102"/>
      <c r="E16" s="102"/>
      <c r="F16" s="107" t="s">
        <v>48</v>
      </c>
      <c r="G16" s="12" t="s">
        <v>49</v>
      </c>
      <c r="H16" s="102"/>
      <c r="I16" s="102"/>
      <c r="J16" s="110"/>
      <c r="K16" s="71"/>
      <c r="L16" s="38"/>
      <c r="M16" s="615">
        <v>2.5</v>
      </c>
      <c r="N16" s="12" t="s">
        <v>50</v>
      </c>
      <c r="O16" s="112">
        <v>1000000</v>
      </c>
      <c r="P16" s="12" t="s">
        <v>32</v>
      </c>
      <c r="Q16" s="107" t="s">
        <v>51</v>
      </c>
      <c r="R16" s="108" t="s">
        <v>52</v>
      </c>
      <c r="S16" s="109"/>
      <c r="T16" s="113">
        <f>(M16/O16)</f>
        <v>2.5000000000000002E-6</v>
      </c>
      <c r="U16" s="114">
        <f>I18</f>
        <v>51272.4</v>
      </c>
      <c r="V16" s="115">
        <f t="shared" ref="V16:V22" si="0">(+U16*T16)</f>
        <v>0.12820000000000001</v>
      </c>
      <c r="W16" s="116">
        <f>V16*C10/V59</f>
        <v>5.4399999999999997E-2</v>
      </c>
    </row>
    <row r="17" spans="1:26" ht="12.75">
      <c r="A17" s="106"/>
      <c r="B17" s="102"/>
      <c r="C17" s="102"/>
      <c r="D17" s="102"/>
      <c r="E17" s="102"/>
      <c r="F17" s="102"/>
      <c r="G17" s="102"/>
      <c r="H17" s="102"/>
      <c r="I17" s="102"/>
      <c r="J17" s="110"/>
      <c r="K17" s="71"/>
      <c r="L17" s="38"/>
      <c r="M17" s="616">
        <v>15</v>
      </c>
      <c r="N17" s="12" t="s">
        <v>21</v>
      </c>
      <c r="O17" s="112" t="s">
        <v>53</v>
      </c>
      <c r="P17" s="117" t="s">
        <v>53</v>
      </c>
      <c r="Q17" s="107" t="s">
        <v>54</v>
      </c>
      <c r="R17" s="108" t="s">
        <v>55</v>
      </c>
      <c r="S17" s="109"/>
      <c r="T17" s="113">
        <f>(+M17/100)</f>
        <v>0.15</v>
      </c>
      <c r="U17" s="118">
        <f>V16</f>
        <v>0.12820000000000001</v>
      </c>
      <c r="V17" s="115">
        <f t="shared" si="0"/>
        <v>1.9199999999999998E-2</v>
      </c>
      <c r="W17" s="116">
        <f>V17*C10/V59</f>
        <v>8.0999999999999996E-3</v>
      </c>
    </row>
    <row r="18" spans="1:26" ht="12.75">
      <c r="A18" s="119">
        <v>100</v>
      </c>
      <c r="B18" s="120" t="s">
        <v>21</v>
      </c>
      <c r="C18" s="197">
        <f>12*8</f>
        <v>96</v>
      </c>
      <c r="D18" s="12" t="s">
        <v>56</v>
      </c>
      <c r="E18" s="122" t="s">
        <v>57</v>
      </c>
      <c r="F18" s="122" t="s">
        <v>58</v>
      </c>
      <c r="G18" s="122" t="s">
        <v>59</v>
      </c>
      <c r="H18" s="123">
        <f>(+A18/C18)/100</f>
        <v>1.0416699999999999E-2</v>
      </c>
      <c r="I18" s="121">
        <f>I20-(M18*U18)</f>
        <v>51272.4</v>
      </c>
      <c r="J18" s="124">
        <f>(H18*I18)</f>
        <v>534.09</v>
      </c>
      <c r="K18" s="125">
        <f>J18/V59</f>
        <v>9.06E-2</v>
      </c>
      <c r="L18" s="38"/>
      <c r="M18" s="126">
        <v>6</v>
      </c>
      <c r="N18" s="12" t="s">
        <v>60</v>
      </c>
      <c r="O18" s="617">
        <v>100000</v>
      </c>
      <c r="P18" s="12" t="s">
        <v>32</v>
      </c>
      <c r="Q18" s="107" t="s">
        <v>61</v>
      </c>
      <c r="R18" s="70" t="s">
        <v>62</v>
      </c>
      <c r="S18" s="66"/>
      <c r="T18" s="113">
        <f>(+M18/O18)</f>
        <v>6.0000000000000002E-5</v>
      </c>
      <c r="U18" s="197">
        <v>1454.6</v>
      </c>
      <c r="V18" s="115">
        <f t="shared" si="0"/>
        <v>8.7300000000000003E-2</v>
      </c>
      <c r="W18" s="116">
        <f>V18*C10/V59</f>
        <v>3.6999999999999998E-2</v>
      </c>
      <c r="Z18" s="1">
        <f>180.55*25</f>
        <v>4513.75</v>
      </c>
    </row>
    <row r="19" spans="1:26" ht="12.75">
      <c r="A19" s="128">
        <f>A18</f>
        <v>100</v>
      </c>
      <c r="B19" s="12" t="s">
        <v>21</v>
      </c>
      <c r="C19" s="114">
        <f>C18</f>
        <v>96</v>
      </c>
      <c r="D19" s="12" t="s">
        <v>56</v>
      </c>
      <c r="E19" s="107" t="s">
        <v>57</v>
      </c>
      <c r="F19" s="107" t="s">
        <v>63</v>
      </c>
      <c r="G19" s="107" t="s">
        <v>64</v>
      </c>
      <c r="H19" s="113">
        <f>(+A19/C19)/100</f>
        <v>1.0416699999999999E-2</v>
      </c>
      <c r="I19" s="114">
        <f>I18*I8</f>
        <v>0</v>
      </c>
      <c r="J19" s="124">
        <f>(H19*I19)</f>
        <v>0</v>
      </c>
      <c r="K19" s="125" t="s">
        <v>65</v>
      </c>
      <c r="L19" s="38"/>
      <c r="M19" s="126">
        <v>1</v>
      </c>
      <c r="N19" s="12" t="s">
        <v>66</v>
      </c>
      <c r="O19" s="179">
        <v>3.5</v>
      </c>
      <c r="P19" s="12" t="s">
        <v>32</v>
      </c>
      <c r="Q19" s="107" t="s">
        <v>67</v>
      </c>
      <c r="R19" s="70" t="s">
        <v>68</v>
      </c>
      <c r="S19" s="66"/>
      <c r="T19" s="113">
        <f>(+M19/O19)</f>
        <v>0.28571429999999998</v>
      </c>
      <c r="U19" s="197">
        <v>3.04</v>
      </c>
      <c r="V19" s="115">
        <f t="shared" si="0"/>
        <v>0.86860000000000004</v>
      </c>
      <c r="W19" s="116">
        <f>V19*C10/V59</f>
        <v>0.36820000000000003</v>
      </c>
      <c r="Z19" s="1">
        <f>1120.82</f>
        <v>1120.82</v>
      </c>
    </row>
    <row r="20" spans="1:26" ht="12.75">
      <c r="A20" s="354">
        <v>18</v>
      </c>
      <c r="B20" s="120" t="s">
        <v>21</v>
      </c>
      <c r="C20" s="121">
        <v>12</v>
      </c>
      <c r="D20" s="12" t="s">
        <v>56</v>
      </c>
      <c r="E20" s="122" t="s">
        <v>57</v>
      </c>
      <c r="F20" s="122" t="s">
        <v>69</v>
      </c>
      <c r="G20" s="122" t="s">
        <v>70</v>
      </c>
      <c r="H20" s="123">
        <f>(+A20/C20)/100</f>
        <v>1.4999999999999999E-2</v>
      </c>
      <c r="I20" s="197">
        <v>60000</v>
      </c>
      <c r="J20" s="124">
        <f>(H20*I20)</f>
        <v>900</v>
      </c>
      <c r="K20" s="125">
        <f>J20/V59</f>
        <v>0.15260000000000001</v>
      </c>
      <c r="L20" s="38"/>
      <c r="M20" s="126">
        <v>10.27</v>
      </c>
      <c r="N20" s="12" t="s">
        <v>66</v>
      </c>
      <c r="O20" s="618">
        <v>7500</v>
      </c>
      <c r="P20" s="12" t="s">
        <v>32</v>
      </c>
      <c r="Q20" s="107" t="s">
        <v>71</v>
      </c>
      <c r="R20" s="108" t="s">
        <v>72</v>
      </c>
      <c r="S20" s="109"/>
      <c r="T20" s="113">
        <f>(+M20/O20)</f>
        <v>1.3692999999999999E-3</v>
      </c>
      <c r="U20" s="197">
        <v>19</v>
      </c>
      <c r="V20" s="115">
        <f t="shared" si="0"/>
        <v>2.5999999999999999E-2</v>
      </c>
      <c r="W20" s="116">
        <f>V20*C10/V59</f>
        <v>1.0999999999999999E-2</v>
      </c>
      <c r="Z20" s="1">
        <f>SUM(Z18:Z19)</f>
        <v>5634.57</v>
      </c>
    </row>
    <row r="21" spans="1:26" ht="12.75">
      <c r="A21" s="128">
        <f>A20</f>
        <v>18</v>
      </c>
      <c r="B21" s="12" t="s">
        <v>21</v>
      </c>
      <c r="C21" s="114">
        <f>C20</f>
        <v>12</v>
      </c>
      <c r="D21" s="12" t="s">
        <v>56</v>
      </c>
      <c r="E21" s="107" t="s">
        <v>57</v>
      </c>
      <c r="F21" s="107" t="s">
        <v>73</v>
      </c>
      <c r="G21" s="107" t="s">
        <v>74</v>
      </c>
      <c r="H21" s="113">
        <f>(+A21/C21)/100</f>
        <v>1.4999999999999999E-2</v>
      </c>
      <c r="I21" s="114">
        <f>I20*I8</f>
        <v>0</v>
      </c>
      <c r="J21" s="124">
        <f>(H21*I21)</f>
        <v>0</v>
      </c>
      <c r="K21" s="125" t="s">
        <v>65</v>
      </c>
      <c r="L21" s="38"/>
      <c r="M21" s="126">
        <v>9.5</v>
      </c>
      <c r="N21" s="12" t="s">
        <v>66</v>
      </c>
      <c r="O21" s="618">
        <v>30000</v>
      </c>
      <c r="P21" s="12" t="s">
        <v>32</v>
      </c>
      <c r="Q21" s="107" t="s">
        <v>75</v>
      </c>
      <c r="R21" s="108" t="s">
        <v>76</v>
      </c>
      <c r="S21" s="109"/>
      <c r="T21" s="113">
        <f>(+M21/O21)</f>
        <v>3.167E-4</v>
      </c>
      <c r="U21" s="197">
        <v>22</v>
      </c>
      <c r="V21" s="115">
        <f t="shared" si="0"/>
        <v>7.0000000000000001E-3</v>
      </c>
      <c r="W21" s="116">
        <f>V21*C10/V59</f>
        <v>3.0000000000000001E-3</v>
      </c>
    </row>
    <row r="22" spans="1:26" ht="12.75">
      <c r="A22" s="128">
        <v>1</v>
      </c>
      <c r="B22" s="12" t="s">
        <v>77</v>
      </c>
      <c r="C22" s="114">
        <v>12</v>
      </c>
      <c r="D22" s="12" t="s">
        <v>56</v>
      </c>
      <c r="E22" s="107" t="s">
        <v>57</v>
      </c>
      <c r="F22" s="107" t="s">
        <v>78</v>
      </c>
      <c r="G22" s="107" t="s">
        <v>79</v>
      </c>
      <c r="H22" s="113">
        <f>A22/C22</f>
        <v>8.3333299999999999E-2</v>
      </c>
      <c r="I22" s="398">
        <v>450</v>
      </c>
      <c r="J22" s="129">
        <f>(I22*H22)</f>
        <v>37.5</v>
      </c>
      <c r="K22" s="125">
        <f>J22/V59</f>
        <v>6.4000000000000003E-3</v>
      </c>
      <c r="L22" s="38"/>
      <c r="M22" s="126">
        <v>1</v>
      </c>
      <c r="N22" s="12" t="s">
        <v>60</v>
      </c>
      <c r="O22" s="618">
        <v>4000</v>
      </c>
      <c r="P22" s="12" t="s">
        <v>32</v>
      </c>
      <c r="Q22" s="107" t="s">
        <v>80</v>
      </c>
      <c r="R22" s="108" t="s">
        <v>81</v>
      </c>
      <c r="S22" s="109"/>
      <c r="T22" s="113">
        <f>(+M22/O22)</f>
        <v>2.5000000000000001E-4</v>
      </c>
      <c r="U22" s="197">
        <v>100</v>
      </c>
      <c r="V22" s="115">
        <f t="shared" si="0"/>
        <v>2.5000000000000001E-2</v>
      </c>
      <c r="W22" s="116">
        <f>V22*C10/V59</f>
        <v>1.06E-2</v>
      </c>
      <c r="Z22" s="130">
        <f>Z20/25</f>
        <v>225.38</v>
      </c>
    </row>
    <row r="23" spans="1:26" ht="12.75">
      <c r="A23" s="128">
        <v>1</v>
      </c>
      <c r="B23" s="12" t="s">
        <v>77</v>
      </c>
      <c r="C23" s="114">
        <v>12</v>
      </c>
      <c r="D23" s="12" t="s">
        <v>56</v>
      </c>
      <c r="E23" s="107" t="s">
        <v>57</v>
      </c>
      <c r="F23" s="107" t="s">
        <v>82</v>
      </c>
      <c r="G23" s="107" t="s">
        <v>83</v>
      </c>
      <c r="H23" s="113">
        <f>A23/C23</f>
        <v>8.3333299999999999E-2</v>
      </c>
      <c r="I23" s="398">
        <v>1200</v>
      </c>
      <c r="J23" s="129">
        <f>(I23*H23)</f>
        <v>100</v>
      </c>
      <c r="K23" s="125">
        <f>J23/V59</f>
        <v>1.7000000000000001E-2</v>
      </c>
      <c r="L23" s="38"/>
      <c r="M23" s="126"/>
      <c r="N23" s="102"/>
      <c r="O23" s="112"/>
      <c r="P23" s="102"/>
      <c r="Q23" s="102"/>
      <c r="R23" s="67"/>
      <c r="S23" s="109"/>
      <c r="T23" s="131"/>
      <c r="U23" s="114"/>
      <c r="V23" s="115"/>
      <c r="W23" s="100"/>
    </row>
    <row r="24" spans="1:26" ht="12.75">
      <c r="A24" s="619">
        <v>3</v>
      </c>
      <c r="B24" s="12" t="s">
        <v>84</v>
      </c>
      <c r="C24" s="114">
        <v>12</v>
      </c>
      <c r="D24" s="12" t="s">
        <v>56</v>
      </c>
      <c r="E24" s="107" t="s">
        <v>57</v>
      </c>
      <c r="F24" s="107" t="s">
        <v>85</v>
      </c>
      <c r="G24" s="107" t="s">
        <v>315</v>
      </c>
      <c r="H24" s="113">
        <f>1/12</f>
        <v>8.3333299999999999E-2</v>
      </c>
      <c r="I24" s="114">
        <f>(+I20*A24)/100</f>
        <v>1800</v>
      </c>
      <c r="J24" s="129">
        <f>(I24*H24)</f>
        <v>150</v>
      </c>
      <c r="K24" s="125">
        <f>J24/V59</f>
        <v>2.5399999999999999E-2</v>
      </c>
      <c r="L24" s="38"/>
      <c r="M24" s="236"/>
      <c r="N24" s="96"/>
      <c r="O24" s="98"/>
      <c r="P24" s="96"/>
      <c r="Q24" s="165" t="s">
        <v>86</v>
      </c>
      <c r="R24" s="160" t="s">
        <v>87</v>
      </c>
      <c r="S24" s="161"/>
      <c r="T24" s="162"/>
      <c r="U24" s="163"/>
      <c r="V24" s="185">
        <f>SUM(V16:V22)</f>
        <v>1.1613</v>
      </c>
      <c r="W24" s="134">
        <f>V24*C10/V59</f>
        <v>0.49230000000000002</v>
      </c>
    </row>
    <row r="25" spans="1:26" ht="12.75">
      <c r="A25" s="135"/>
      <c r="B25" s="102"/>
      <c r="C25" s="114"/>
      <c r="D25" s="102"/>
      <c r="E25" s="102"/>
      <c r="F25" s="102"/>
      <c r="G25" s="102"/>
      <c r="H25" s="136"/>
      <c r="I25" s="131"/>
      <c r="J25" s="137"/>
      <c r="K25" s="71"/>
      <c r="L25" s="38"/>
      <c r="M25" s="106"/>
      <c r="N25" s="102"/>
      <c r="O25" s="102"/>
      <c r="P25" s="102"/>
      <c r="Q25" s="237"/>
      <c r="R25" s="109"/>
      <c r="S25" s="109"/>
      <c r="T25" s="102"/>
      <c r="U25" s="111"/>
      <c r="V25" s="238"/>
      <c r="W25" s="57"/>
    </row>
    <row r="26" spans="1:26" ht="12.75">
      <c r="A26" s="135"/>
      <c r="B26" s="102"/>
      <c r="C26" s="114"/>
      <c r="D26" s="102"/>
      <c r="E26" s="102"/>
      <c r="F26" s="107" t="s">
        <v>88</v>
      </c>
      <c r="G26" s="107" t="s">
        <v>89</v>
      </c>
      <c r="H26" s="136"/>
      <c r="I26" s="131"/>
      <c r="J26" s="129">
        <f>SUM(J18:J24)</f>
        <v>1721.59</v>
      </c>
      <c r="K26" s="139"/>
      <c r="L26" s="38"/>
      <c r="M26" s="19"/>
      <c r="N26" s="18"/>
      <c r="O26" s="18"/>
      <c r="P26" s="18"/>
      <c r="Q26" s="18"/>
      <c r="R26" s="141"/>
      <c r="S26" s="141"/>
      <c r="T26" s="18"/>
      <c r="U26" s="18"/>
      <c r="V26" s="239"/>
      <c r="W26" s="57"/>
    </row>
    <row r="27" spans="1:26" ht="12.75">
      <c r="A27" s="128">
        <v>100</v>
      </c>
      <c r="B27" s="12" t="s">
        <v>21</v>
      </c>
      <c r="C27" s="114">
        <v>1</v>
      </c>
      <c r="D27" s="12" t="s">
        <v>56</v>
      </c>
      <c r="E27" s="107" t="s">
        <v>57</v>
      </c>
      <c r="F27" s="102"/>
      <c r="G27" s="12" t="s">
        <v>90</v>
      </c>
      <c r="H27" s="142">
        <f>(+A27/C27)/100</f>
        <v>1</v>
      </c>
      <c r="I27" s="114"/>
      <c r="J27" s="129">
        <f>J26*H27</f>
        <v>1721.59</v>
      </c>
      <c r="K27" s="143">
        <f>J27/V59</f>
        <v>0.29189999999999999</v>
      </c>
      <c r="L27" s="38"/>
      <c r="M27" s="106"/>
      <c r="N27" s="102"/>
      <c r="O27" s="102"/>
      <c r="P27" s="102"/>
      <c r="Q27" s="102"/>
      <c r="R27" s="67"/>
      <c r="S27" s="67"/>
      <c r="T27" s="102"/>
      <c r="U27" s="111"/>
      <c r="V27" s="240"/>
      <c r="W27" s="57"/>
    </row>
    <row r="28" spans="1:26" ht="12.75">
      <c r="A28" s="135"/>
      <c r="B28" s="102"/>
      <c r="C28" s="114"/>
      <c r="D28" s="102"/>
      <c r="E28" s="102"/>
      <c r="F28" s="102"/>
      <c r="G28" s="102"/>
      <c r="H28" s="142"/>
      <c r="I28" s="114"/>
      <c r="J28" s="129"/>
      <c r="K28" s="139"/>
      <c r="L28" s="38"/>
      <c r="M28" s="95"/>
      <c r="N28" s="96"/>
      <c r="O28" s="96"/>
      <c r="P28" s="96"/>
      <c r="Q28" s="96"/>
      <c r="R28" s="80"/>
      <c r="S28" s="80"/>
      <c r="T28" s="96"/>
      <c r="U28" s="241"/>
      <c r="V28" s="242"/>
      <c r="W28" s="57"/>
    </row>
    <row r="29" spans="1:26" ht="12.75">
      <c r="A29" s="135"/>
      <c r="B29" s="102"/>
      <c r="C29" s="114"/>
      <c r="D29" s="102"/>
      <c r="E29" s="121"/>
      <c r="F29" s="122"/>
      <c r="G29" s="122"/>
      <c r="H29" s="145"/>
      <c r="I29" s="146"/>
      <c r="J29" s="124"/>
      <c r="K29" s="125"/>
      <c r="L29" s="38"/>
      <c r="M29" s="144"/>
      <c r="N29" s="67"/>
      <c r="O29" s="67"/>
      <c r="P29" s="67"/>
      <c r="Q29" s="67"/>
      <c r="R29" s="67"/>
      <c r="S29" s="67"/>
      <c r="T29" s="67"/>
      <c r="U29" s="81"/>
      <c r="V29" s="81"/>
      <c r="W29" s="57"/>
    </row>
    <row r="30" spans="1:26" ht="12.75">
      <c r="A30" s="119">
        <v>2</v>
      </c>
      <c r="B30" s="120" t="s">
        <v>91</v>
      </c>
      <c r="C30" s="127">
        <f>C10</f>
        <v>2500</v>
      </c>
      <c r="D30" s="120" t="s">
        <v>92</v>
      </c>
      <c r="E30" s="147">
        <f>(+C30*H30)</f>
        <v>50</v>
      </c>
      <c r="F30" s="122" t="s">
        <v>93</v>
      </c>
      <c r="G30" s="148" t="s">
        <v>94</v>
      </c>
      <c r="H30" s="145">
        <f>(+A30/100)</f>
        <v>0.02</v>
      </c>
      <c r="I30" s="149">
        <f>V24</f>
        <v>1.1613</v>
      </c>
      <c r="J30" s="124">
        <f>E30*I30</f>
        <v>58.07</v>
      </c>
      <c r="K30" s="125">
        <f>J30/V$59</f>
        <v>9.7999999999999997E-3</v>
      </c>
      <c r="L30" s="38"/>
      <c r="M30" s="144"/>
      <c r="N30" s="67"/>
      <c r="O30" s="67"/>
      <c r="P30" s="67"/>
      <c r="Q30" s="67"/>
      <c r="R30" s="67"/>
      <c r="S30" s="67"/>
      <c r="T30" s="67"/>
      <c r="U30" s="81"/>
      <c r="V30" s="81"/>
      <c r="W30" s="57"/>
    </row>
    <row r="31" spans="1:26" ht="12.75">
      <c r="A31" s="128"/>
      <c r="B31" s="12"/>
      <c r="C31" s="114"/>
      <c r="D31" s="12"/>
      <c r="E31" s="112"/>
      <c r="F31" s="107"/>
      <c r="G31" s="107"/>
      <c r="H31" s="142"/>
      <c r="I31" s="121"/>
      <c r="J31" s="129"/>
      <c r="K31" s="125"/>
      <c r="L31" s="38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6" ht="12.75">
      <c r="A32" s="126"/>
      <c r="B32" s="102"/>
      <c r="C32" s="114"/>
      <c r="D32" s="102"/>
      <c r="E32" s="102"/>
      <c r="F32" s="122" t="s">
        <v>100</v>
      </c>
      <c r="G32" s="102" t="s">
        <v>299</v>
      </c>
      <c r="H32" s="136"/>
      <c r="I32" s="111"/>
      <c r="J32" s="129">
        <f>SUM(J27:J30)</f>
        <v>1779.66</v>
      </c>
      <c r="K32" s="125"/>
      <c r="L32" s="38"/>
      <c r="M32" s="243"/>
      <c r="N32" s="244"/>
      <c r="O32" s="244"/>
      <c r="P32" s="244"/>
      <c r="Q32" s="245"/>
      <c r="R32" s="244"/>
      <c r="S32" s="244"/>
      <c r="T32" s="244"/>
      <c r="U32" s="246"/>
      <c r="V32" s="244"/>
      <c r="W32" s="47"/>
    </row>
    <row r="33" spans="1:23" ht="20.25">
      <c r="A33" s="126"/>
      <c r="B33" s="102"/>
      <c r="C33" s="114"/>
      <c r="D33" s="102"/>
      <c r="E33" s="287"/>
      <c r="F33" s="122"/>
      <c r="G33" s="122"/>
      <c r="H33" s="286"/>
      <c r="I33" s="289"/>
      <c r="J33" s="288"/>
      <c r="K33" s="125"/>
      <c r="L33" s="38"/>
      <c r="M33" s="48" t="s">
        <v>95</v>
      </c>
      <c r="N33" s="49"/>
      <c r="O33" s="49"/>
      <c r="P33" s="49"/>
      <c r="Q33" s="49"/>
      <c r="R33" s="49"/>
      <c r="S33" s="49"/>
      <c r="T33" s="49"/>
      <c r="U33" s="49"/>
      <c r="V33" s="150"/>
      <c r="W33" s="47"/>
    </row>
    <row r="34" spans="1:23" ht="12.75">
      <c r="A34" s="353">
        <v>2.5</v>
      </c>
      <c r="B34" s="120" t="s">
        <v>155</v>
      </c>
      <c r="C34" s="114"/>
      <c r="D34" s="12"/>
      <c r="E34" s="287"/>
      <c r="F34" s="122" t="s">
        <v>303</v>
      </c>
      <c r="G34" s="168" t="s">
        <v>302</v>
      </c>
      <c r="H34" s="136">
        <f>A34/100</f>
        <v>2.5000000000000001E-2</v>
      </c>
      <c r="I34" s="188">
        <f>J32</f>
        <v>1779.66</v>
      </c>
      <c r="J34" s="124">
        <f>H34*I34</f>
        <v>44.49</v>
      </c>
      <c r="K34" s="125">
        <f>J34/V$59</f>
        <v>7.4999999999999997E-3</v>
      </c>
      <c r="L34" s="38"/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47"/>
    </row>
    <row r="35" spans="1:23" ht="12.75">
      <c r="A35" s="128"/>
      <c r="B35" s="12"/>
      <c r="C35" s="114"/>
      <c r="D35" s="12"/>
      <c r="E35" s="112"/>
      <c r="F35" s="107"/>
      <c r="G35" s="107"/>
      <c r="H35" s="142"/>
      <c r="I35" s="121"/>
      <c r="J35" s="129"/>
      <c r="K35" s="125"/>
      <c r="L35" s="38"/>
      <c r="M35" s="138"/>
      <c r="N35" s="60"/>
      <c r="O35" s="87"/>
      <c r="P35" s="87"/>
      <c r="Q35" s="87"/>
      <c r="R35" s="90"/>
      <c r="S35" s="88"/>
      <c r="T35" s="87"/>
      <c r="U35" s="89" t="s">
        <v>33</v>
      </c>
      <c r="V35" s="153"/>
      <c r="W35" s="47"/>
    </row>
    <row r="36" spans="1:23" ht="12.75">
      <c r="A36" s="55"/>
      <c r="B36" s="154"/>
      <c r="C36" s="154"/>
      <c r="D36" s="154"/>
      <c r="E36" s="154"/>
      <c r="F36" s="154"/>
      <c r="G36" s="154"/>
      <c r="H36" s="155"/>
      <c r="I36" s="156"/>
      <c r="J36" s="156"/>
      <c r="K36" s="47"/>
      <c r="L36" s="38"/>
      <c r="M36" s="144"/>
      <c r="N36" s="67"/>
      <c r="O36" s="12" t="s">
        <v>44</v>
      </c>
      <c r="P36" s="12" t="s">
        <v>36</v>
      </c>
      <c r="Q36" s="12" t="s">
        <v>38</v>
      </c>
      <c r="R36" s="657" t="s">
        <v>96</v>
      </c>
      <c r="S36" s="658"/>
      <c r="T36" s="12" t="s">
        <v>40</v>
      </c>
      <c r="U36" s="12" t="s">
        <v>41</v>
      </c>
      <c r="V36" s="129" t="s">
        <v>97</v>
      </c>
      <c r="W36" s="157"/>
    </row>
    <row r="37" spans="1:23" ht="12.75">
      <c r="A37" s="119"/>
      <c r="B37" s="120"/>
      <c r="C37" s="127"/>
      <c r="D37" s="120"/>
      <c r="E37" s="158"/>
      <c r="F37" s="122"/>
      <c r="G37" s="148"/>
      <c r="H37" s="145"/>
      <c r="I37" s="149"/>
      <c r="J37" s="124"/>
      <c r="K37" s="125"/>
      <c r="L37" s="38"/>
      <c r="M37" s="151"/>
      <c r="N37" s="152"/>
      <c r="O37" s="104"/>
      <c r="P37" s="104"/>
      <c r="Q37" s="104"/>
      <c r="R37" s="105"/>
      <c r="S37" s="159"/>
      <c r="T37" s="104"/>
      <c r="U37" s="98" t="s">
        <v>43</v>
      </c>
      <c r="V37" s="105"/>
      <c r="W37" s="57"/>
    </row>
    <row r="38" spans="1:23" ht="12.75">
      <c r="A38" s="106"/>
      <c r="B38" s="102"/>
      <c r="C38" s="131"/>
      <c r="D38" s="102"/>
      <c r="E38" s="102"/>
      <c r="F38" s="102"/>
      <c r="G38" s="102"/>
      <c r="H38" s="102"/>
      <c r="I38" s="131"/>
      <c r="J38" s="137"/>
      <c r="K38" s="125"/>
      <c r="L38" s="38"/>
      <c r="M38" s="144"/>
      <c r="N38" s="67"/>
      <c r="O38" s="102"/>
      <c r="P38" s="87"/>
      <c r="Q38" s="108" t="s">
        <v>98</v>
      </c>
      <c r="R38" s="160" t="s">
        <v>99</v>
      </c>
      <c r="S38" s="161"/>
      <c r="T38" s="162"/>
      <c r="U38" s="163"/>
      <c r="V38" s="24" t="s">
        <v>42</v>
      </c>
      <c r="W38" s="164"/>
    </row>
    <row r="39" spans="1:23" ht="12.75">
      <c r="A39" s="95"/>
      <c r="B39" s="96"/>
      <c r="C39" s="98"/>
      <c r="D39" s="96"/>
      <c r="E39" s="96"/>
      <c r="F39" s="165" t="s">
        <v>160</v>
      </c>
      <c r="G39" s="160" t="s">
        <v>304</v>
      </c>
      <c r="H39" s="166"/>
      <c r="I39" s="166"/>
      <c r="J39" s="167">
        <f>SUM(J32:J34)</f>
        <v>1824.15</v>
      </c>
      <c r="K39" s="143">
        <f>J39/V59</f>
        <v>0.30930000000000002</v>
      </c>
      <c r="L39" s="38"/>
      <c r="M39" s="144"/>
      <c r="N39" s="67"/>
      <c r="O39" s="102"/>
      <c r="P39" s="102"/>
      <c r="Q39" s="108" t="s">
        <v>101</v>
      </c>
      <c r="R39" s="168" t="s">
        <v>102</v>
      </c>
      <c r="S39" s="169"/>
      <c r="T39" s="131"/>
      <c r="U39" s="118">
        <f>V24</f>
        <v>1.1613</v>
      </c>
      <c r="V39" s="115">
        <f>$V$24</f>
        <v>1.1613</v>
      </c>
      <c r="W39" s="57"/>
    </row>
    <row r="40" spans="1:23" ht="12.75">
      <c r="A40" s="144"/>
      <c r="B40" s="67"/>
      <c r="C40" s="67"/>
      <c r="D40" s="67"/>
      <c r="E40" s="67"/>
      <c r="F40" s="108"/>
      <c r="G40" s="108"/>
      <c r="H40" s="108"/>
      <c r="I40" s="108"/>
      <c r="J40" s="81"/>
      <c r="K40" s="170"/>
      <c r="L40" s="38"/>
      <c r="M40" s="144"/>
      <c r="N40" s="67"/>
      <c r="O40" s="114"/>
      <c r="P40" s="12"/>
      <c r="Q40" s="108"/>
      <c r="R40" s="168"/>
      <c r="S40" s="169"/>
      <c r="T40" s="113"/>
      <c r="U40" s="131"/>
      <c r="V40" s="115"/>
      <c r="W40" s="116"/>
    </row>
    <row r="41" spans="1:23" ht="20.25">
      <c r="A41" s="171" t="s">
        <v>104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39"/>
      <c r="L41" s="38"/>
      <c r="M41" s="144"/>
      <c r="N41" s="67"/>
      <c r="O41" s="114">
        <f>C48</f>
        <v>5.5</v>
      </c>
      <c r="P41" s="12" t="s">
        <v>21</v>
      </c>
      <c r="Q41" s="108" t="s">
        <v>103</v>
      </c>
      <c r="R41" s="168" t="s">
        <v>106</v>
      </c>
      <c r="S41" s="169"/>
      <c r="T41" s="113">
        <f>(+O41/100)</f>
        <v>5.5E-2</v>
      </c>
      <c r="U41" s="131"/>
      <c r="V41" s="115">
        <f>(+V39*T41)</f>
        <v>6.3899999999999998E-2</v>
      </c>
      <c r="W41" s="116">
        <f>V41*C10/V59</f>
        <v>2.7099999999999999E-2</v>
      </c>
    </row>
    <row r="42" spans="1:23" ht="20.25">
      <c r="A42" s="144"/>
      <c r="B42" s="67"/>
      <c r="C42" s="67"/>
      <c r="D42" s="67"/>
      <c r="E42" s="67"/>
      <c r="F42" s="67"/>
      <c r="G42" s="109"/>
      <c r="H42" s="67"/>
      <c r="I42" s="67"/>
      <c r="J42" s="67"/>
      <c r="K42" s="51"/>
      <c r="L42" s="38"/>
      <c r="M42" s="144"/>
      <c r="N42" s="67"/>
      <c r="O42" s="114" t="s">
        <v>107</v>
      </c>
      <c r="P42" s="102"/>
      <c r="Q42" s="108" t="s">
        <v>105</v>
      </c>
      <c r="R42" s="168" t="s">
        <v>283</v>
      </c>
      <c r="S42" s="169"/>
      <c r="T42" s="131"/>
      <c r="U42" s="131"/>
      <c r="V42" s="115">
        <f>SUM(V39:V41)</f>
        <v>1.2252000000000001</v>
      </c>
      <c r="W42" s="116"/>
    </row>
    <row r="43" spans="1:23" ht="12.75">
      <c r="A43" s="138"/>
      <c r="B43" s="88"/>
      <c r="C43" s="87"/>
      <c r="D43" s="87"/>
      <c r="E43" s="87"/>
      <c r="F43" s="173"/>
      <c r="G43" s="133"/>
      <c r="H43" s="15"/>
      <c r="I43" s="89" t="s">
        <v>33</v>
      </c>
      <c r="J43" s="90"/>
      <c r="K43" s="71"/>
      <c r="L43" s="38"/>
      <c r="M43" s="144"/>
      <c r="N43" s="67"/>
      <c r="O43" s="114">
        <f>C51</f>
        <v>0</v>
      </c>
      <c r="P43" s="12" t="s">
        <v>21</v>
      </c>
      <c r="Q43" s="108" t="s">
        <v>108</v>
      </c>
      <c r="R43" s="168" t="s">
        <v>110</v>
      </c>
      <c r="S43" s="169"/>
      <c r="T43" s="113">
        <f>(+O43/100)</f>
        <v>0</v>
      </c>
      <c r="U43" s="174">
        <f>V42</f>
        <v>1.2252000000000001</v>
      </c>
      <c r="V43" s="115">
        <f>(+V42*T43)</f>
        <v>0</v>
      </c>
      <c r="W43" s="116">
        <f>V43*C10/V59</f>
        <v>0</v>
      </c>
    </row>
    <row r="44" spans="1:23" ht="12.75">
      <c r="A44" s="144"/>
      <c r="B44" s="175"/>
      <c r="C44" s="12" t="s">
        <v>44</v>
      </c>
      <c r="D44" s="12" t="s">
        <v>36</v>
      </c>
      <c r="E44" s="12" t="s">
        <v>38</v>
      </c>
      <c r="F44" s="657" t="s">
        <v>39</v>
      </c>
      <c r="G44" s="658"/>
      <c r="H44" s="12" t="s">
        <v>40</v>
      </c>
      <c r="I44" s="12" t="s">
        <v>41</v>
      </c>
      <c r="J44" s="92" t="s">
        <v>42</v>
      </c>
      <c r="K44" s="71"/>
      <c r="L44" s="38"/>
      <c r="M44" s="144"/>
      <c r="N44" s="67"/>
      <c r="O44" s="114" t="s">
        <v>107</v>
      </c>
      <c r="P44" s="102"/>
      <c r="Q44" s="108" t="s">
        <v>109</v>
      </c>
      <c r="R44" s="168" t="s">
        <v>284</v>
      </c>
      <c r="S44" s="169"/>
      <c r="T44" s="131"/>
      <c r="U44" s="131"/>
      <c r="V44" s="115">
        <f>SUM(V42:V43)</f>
        <v>1.2252000000000001</v>
      </c>
      <c r="W44" s="116"/>
    </row>
    <row r="45" spans="1:23" ht="12.75">
      <c r="A45" s="144"/>
      <c r="B45" s="175"/>
      <c r="C45" s="96"/>
      <c r="D45" s="96"/>
      <c r="E45" s="96"/>
      <c r="F45" s="99"/>
      <c r="G45" s="80"/>
      <c r="H45" s="104"/>
      <c r="I45" s="98" t="s">
        <v>43</v>
      </c>
      <c r="J45" s="99"/>
      <c r="K45" s="176"/>
      <c r="L45" s="38"/>
      <c r="M45" s="144"/>
      <c r="N45" s="67"/>
      <c r="O45" s="114">
        <f>C54</f>
        <v>9</v>
      </c>
      <c r="P45" s="12" t="s">
        <v>21</v>
      </c>
      <c r="Q45" s="108" t="s">
        <v>111</v>
      </c>
      <c r="R45" s="168" t="s">
        <v>113</v>
      </c>
      <c r="S45" s="169"/>
      <c r="T45" s="113">
        <f>(+O45/100)</f>
        <v>0.09</v>
      </c>
      <c r="U45" s="174">
        <f>V44</f>
        <v>1.2252000000000001</v>
      </c>
      <c r="V45" s="115">
        <f>(+V44*T45)</f>
        <v>0.1103</v>
      </c>
      <c r="W45" s="116">
        <f>V45*C10/V59</f>
        <v>4.6800000000000001E-2</v>
      </c>
    </row>
    <row r="46" spans="1:23" ht="12.75">
      <c r="A46" s="144"/>
      <c r="B46" s="175"/>
      <c r="C46" s="102"/>
      <c r="D46" s="102"/>
      <c r="E46" s="107" t="s">
        <v>114</v>
      </c>
      <c r="F46" s="132" t="s">
        <v>140</v>
      </c>
      <c r="G46" s="60"/>
      <c r="H46" s="177"/>
      <c r="I46" s="114">
        <f>J39</f>
        <v>1824.15</v>
      </c>
      <c r="J46" s="178">
        <f>J39</f>
        <v>1824.15</v>
      </c>
      <c r="K46" s="71"/>
      <c r="L46" s="38"/>
      <c r="M46" s="144"/>
      <c r="N46" s="67"/>
      <c r="O46" s="114" t="s">
        <v>107</v>
      </c>
      <c r="P46" s="102"/>
      <c r="Q46" s="108" t="s">
        <v>112</v>
      </c>
      <c r="R46" s="168" t="s">
        <v>285</v>
      </c>
      <c r="S46" s="169"/>
      <c r="T46" s="131"/>
      <c r="U46" s="131"/>
      <c r="V46" s="115">
        <f>SUM(V44:V45)</f>
        <v>1.3354999999999999</v>
      </c>
      <c r="W46" s="116"/>
    </row>
    <row r="47" spans="1:23" ht="12.75">
      <c r="A47" s="144"/>
      <c r="B47" s="175"/>
      <c r="C47" s="343"/>
      <c r="D47" s="12"/>
      <c r="E47" s="107"/>
      <c r="F47" s="168"/>
      <c r="G47" s="169"/>
      <c r="H47" s="113"/>
      <c r="I47" s="131"/>
      <c r="J47" s="129"/>
      <c r="K47" s="125"/>
      <c r="L47" s="38"/>
      <c r="M47" s="144"/>
      <c r="N47" s="67"/>
      <c r="O47" s="114">
        <f>C57</f>
        <v>7.81</v>
      </c>
      <c r="P47" s="12" t="s">
        <v>21</v>
      </c>
      <c r="Q47" s="108" t="s">
        <v>118</v>
      </c>
      <c r="R47" s="168" t="s">
        <v>119</v>
      </c>
      <c r="S47" s="169"/>
      <c r="T47" s="113">
        <f>(+O47/100)</f>
        <v>7.8100000000000003E-2</v>
      </c>
      <c r="U47" s="131"/>
      <c r="V47" s="115">
        <f>(+V49*T47)</f>
        <v>0.11310000000000001</v>
      </c>
      <c r="W47" s="116">
        <f>V47*C10/V59</f>
        <v>4.7899999999999998E-2</v>
      </c>
    </row>
    <row r="48" spans="1:23" ht="12.75">
      <c r="A48" s="144"/>
      <c r="B48" s="175"/>
      <c r="C48" s="179">
        <v>5.5</v>
      </c>
      <c r="D48" s="12" t="s">
        <v>21</v>
      </c>
      <c r="E48" s="107" t="s">
        <v>117</v>
      </c>
      <c r="F48" s="168" t="s">
        <v>106</v>
      </c>
      <c r="G48" s="169"/>
      <c r="H48" s="113">
        <f>(C48/100)</f>
        <v>5.5E-2</v>
      </c>
      <c r="I48" s="131"/>
      <c r="J48" s="129">
        <f>(+J46*H48)</f>
        <v>100.33</v>
      </c>
      <c r="K48" s="125">
        <f>J48/V59</f>
        <v>1.7000000000000001E-2</v>
      </c>
      <c r="L48" s="38"/>
      <c r="M48" s="144"/>
      <c r="N48" s="67"/>
      <c r="O48" s="114" t="s">
        <v>107</v>
      </c>
      <c r="P48" s="102"/>
      <c r="Q48" s="67"/>
      <c r="R48" s="110"/>
      <c r="S48" s="175"/>
      <c r="T48" s="131"/>
      <c r="U48" s="131"/>
      <c r="V48" s="115"/>
      <c r="W48" s="100"/>
    </row>
    <row r="49" spans="1:25" ht="12.75">
      <c r="A49" s="144"/>
      <c r="B49" s="175"/>
      <c r="C49" s="114" t="s">
        <v>107</v>
      </c>
      <c r="D49" s="102"/>
      <c r="E49" s="102"/>
      <c r="F49" s="110"/>
      <c r="G49" s="67"/>
      <c r="H49" s="113"/>
      <c r="I49" s="114"/>
      <c r="J49" s="129"/>
      <c r="K49" s="180"/>
      <c r="L49" s="38"/>
      <c r="M49" s="181"/>
      <c r="N49" s="80"/>
      <c r="O49" s="182" t="s">
        <v>107</v>
      </c>
      <c r="P49" s="96"/>
      <c r="Q49" s="183" t="s">
        <v>116</v>
      </c>
      <c r="R49" s="160" t="s">
        <v>286</v>
      </c>
      <c r="S49" s="163"/>
      <c r="T49" s="184"/>
      <c r="U49" s="162"/>
      <c r="V49" s="185">
        <f>V46/(1-T47)</f>
        <v>1.4486000000000001</v>
      </c>
      <c r="W49" s="186">
        <f>V49*C10/V59</f>
        <v>0.61409999999999998</v>
      </c>
      <c r="Y49" s="130"/>
    </row>
    <row r="50" spans="1:25" ht="12.75">
      <c r="A50" s="144"/>
      <c r="B50" s="175"/>
      <c r="C50" s="187"/>
      <c r="D50" s="102"/>
      <c r="E50" s="107" t="s">
        <v>120</v>
      </c>
      <c r="F50" s="168" t="s">
        <v>289</v>
      </c>
      <c r="G50" s="67"/>
      <c r="H50" s="113"/>
      <c r="I50" s="131"/>
      <c r="J50" s="129">
        <f>SUM(J46:J48)</f>
        <v>1924.48</v>
      </c>
      <c r="K50" s="125"/>
      <c r="L50" s="38"/>
      <c r="M50" s="140"/>
      <c r="N50" s="141"/>
      <c r="O50" s="141"/>
      <c r="P50" s="141"/>
      <c r="Q50" s="141"/>
      <c r="R50" s="141"/>
      <c r="S50" s="141"/>
      <c r="T50" s="141"/>
      <c r="U50" s="141"/>
      <c r="V50" s="141"/>
      <c r="W50" s="57"/>
    </row>
    <row r="51" spans="1:25" ht="12.75">
      <c r="A51" s="144"/>
      <c r="B51" s="175"/>
      <c r="C51" s="114">
        <v>0</v>
      </c>
      <c r="D51" s="12" t="s">
        <v>21</v>
      </c>
      <c r="E51" s="107" t="s">
        <v>121</v>
      </c>
      <c r="F51" s="168" t="s">
        <v>110</v>
      </c>
      <c r="G51" s="169"/>
      <c r="H51" s="113">
        <f>(C51/100)</f>
        <v>0</v>
      </c>
      <c r="I51" s="188">
        <f>J50</f>
        <v>1924.48</v>
      </c>
      <c r="J51" s="129">
        <f>(+J50*H51)</f>
        <v>0</v>
      </c>
      <c r="K51" s="125">
        <f>J51/V59</f>
        <v>0</v>
      </c>
      <c r="L51" s="38"/>
      <c r="M51" s="144"/>
      <c r="N51" s="67"/>
      <c r="O51" s="67"/>
      <c r="P51" s="67"/>
      <c r="Q51" s="67"/>
      <c r="R51" s="67"/>
      <c r="S51" s="67"/>
      <c r="T51" s="67"/>
      <c r="U51" s="67"/>
      <c r="V51" s="67"/>
      <c r="W51" s="57"/>
    </row>
    <row r="52" spans="1:25" ht="13.5" thickBot="1">
      <c r="A52" s="144"/>
      <c r="B52" s="175"/>
      <c r="C52" s="114" t="s">
        <v>107</v>
      </c>
      <c r="D52" s="102"/>
      <c r="E52" s="102"/>
      <c r="F52" s="110"/>
      <c r="G52" s="67"/>
      <c r="H52" s="113"/>
      <c r="I52" s="114"/>
      <c r="J52" s="129"/>
      <c r="K52" s="180"/>
      <c r="L52" s="38"/>
      <c r="M52" s="144"/>
      <c r="N52" s="67"/>
      <c r="O52" s="67"/>
      <c r="P52" s="67"/>
      <c r="Q52" s="67"/>
      <c r="R52" s="67"/>
      <c r="S52" s="67"/>
      <c r="T52" s="67"/>
      <c r="U52" s="67"/>
      <c r="V52" s="67"/>
      <c r="W52" s="57"/>
    </row>
    <row r="53" spans="1:25" ht="20.25">
      <c r="A53" s="144"/>
      <c r="B53" s="175"/>
      <c r="C53" s="114" t="s">
        <v>107</v>
      </c>
      <c r="D53" s="102"/>
      <c r="E53" s="107" t="s">
        <v>122</v>
      </c>
      <c r="F53" s="168" t="s">
        <v>290</v>
      </c>
      <c r="G53" s="67"/>
      <c r="H53" s="113"/>
      <c r="I53" s="131"/>
      <c r="J53" s="129">
        <f>SUM(J50:J51)</f>
        <v>1924.48</v>
      </c>
      <c r="K53" s="180"/>
      <c r="L53" s="38"/>
      <c r="M53" s="144"/>
      <c r="N53" s="67"/>
      <c r="O53" s="67"/>
      <c r="P53" s="67"/>
      <c r="Q53" s="189" t="s">
        <v>124</v>
      </c>
      <c r="R53" s="190"/>
      <c r="S53" s="190"/>
      <c r="T53" s="190"/>
      <c r="U53" s="190"/>
      <c r="V53" s="190"/>
      <c r="W53" s="57"/>
    </row>
    <row r="54" spans="1:25" ht="13.5" thickBot="1">
      <c r="A54" s="144"/>
      <c r="B54" s="175"/>
      <c r="C54" s="179">
        <v>9</v>
      </c>
      <c r="D54" s="12" t="s">
        <v>21</v>
      </c>
      <c r="E54" s="107" t="s">
        <v>123</v>
      </c>
      <c r="F54" s="168" t="s">
        <v>292</v>
      </c>
      <c r="G54" s="169"/>
      <c r="H54" s="113">
        <f>(C54/100)</f>
        <v>0.09</v>
      </c>
      <c r="I54" s="188">
        <f>J53</f>
        <v>1924.48</v>
      </c>
      <c r="J54" s="129">
        <f>(+J53*H54)</f>
        <v>173.2</v>
      </c>
      <c r="K54" s="125">
        <f>J54/V59</f>
        <v>2.9399999999999999E-2</v>
      </c>
      <c r="L54" s="38"/>
      <c r="M54" s="144"/>
      <c r="N54" s="67"/>
      <c r="O54" s="67"/>
      <c r="P54" s="67"/>
      <c r="Q54" s="191"/>
      <c r="R54" s="192"/>
      <c r="S54" s="192"/>
      <c r="T54" s="192"/>
      <c r="U54" s="192"/>
      <c r="V54" s="192"/>
      <c r="W54" s="57"/>
    </row>
    <row r="55" spans="1:25" ht="13.5" thickBot="1">
      <c r="A55" s="144"/>
      <c r="B55" s="175"/>
      <c r="C55" s="114" t="s">
        <v>107</v>
      </c>
      <c r="D55" s="102"/>
      <c r="E55" s="102"/>
      <c r="F55" s="110"/>
      <c r="G55" s="67"/>
      <c r="H55" s="113"/>
      <c r="I55" s="131"/>
      <c r="J55" s="129"/>
      <c r="K55" s="180"/>
      <c r="L55" s="38"/>
      <c r="M55" s="144"/>
      <c r="N55" s="67"/>
      <c r="O55" s="67"/>
      <c r="P55" s="67"/>
      <c r="Q55" s="346" t="s">
        <v>287</v>
      </c>
      <c r="R55" s="193" t="s">
        <v>294</v>
      </c>
      <c r="S55" s="194"/>
      <c r="T55" s="194"/>
      <c r="U55" s="194"/>
      <c r="V55" s="195">
        <f>C10*V49</f>
        <v>3621.5</v>
      </c>
      <c r="W55" s="196">
        <f>V55/V59</f>
        <v>0.61409999999999998</v>
      </c>
    </row>
    <row r="56" spans="1:25" ht="13.5" thickBot="1">
      <c r="A56" s="144"/>
      <c r="B56" s="175"/>
      <c r="C56" s="114" t="s">
        <v>107</v>
      </c>
      <c r="D56" s="102"/>
      <c r="E56" s="107" t="s">
        <v>125</v>
      </c>
      <c r="F56" s="168" t="s">
        <v>128</v>
      </c>
      <c r="G56" s="67"/>
      <c r="H56" s="113"/>
      <c r="I56" s="131"/>
      <c r="J56" s="129">
        <f>SUM(J53:J54)</f>
        <v>2097.6799999999998</v>
      </c>
      <c r="K56" s="180"/>
      <c r="L56" s="38"/>
      <c r="M56" s="144"/>
      <c r="N56" s="67"/>
      <c r="O56" s="67"/>
      <c r="P56" s="67"/>
      <c r="Q56" s="347" t="s">
        <v>126</v>
      </c>
      <c r="R56" s="108" t="s">
        <v>130</v>
      </c>
      <c r="S56" s="67"/>
      <c r="T56" s="67"/>
      <c r="U56" s="108"/>
      <c r="V56" s="81">
        <f>J59</f>
        <v>2275.39</v>
      </c>
      <c r="W56" s="196">
        <f>V56/V59</f>
        <v>0.38590000000000002</v>
      </c>
    </row>
    <row r="57" spans="1:25" ht="12.75">
      <c r="A57" s="144"/>
      <c r="B57" s="175"/>
      <c r="C57" s="197">
        <f>(15%*C54)+(9%*C54)+3.65+2</f>
        <v>7.81</v>
      </c>
      <c r="D57" s="12" t="s">
        <v>21</v>
      </c>
      <c r="E57" s="107" t="s">
        <v>131</v>
      </c>
      <c r="F57" s="168" t="s">
        <v>119</v>
      </c>
      <c r="G57" s="169"/>
      <c r="H57" s="113">
        <f>(C57/100)</f>
        <v>7.8100000000000003E-2</v>
      </c>
      <c r="I57" s="131"/>
      <c r="J57" s="129">
        <f>(+J59*H57)</f>
        <v>177.71</v>
      </c>
      <c r="K57" s="125">
        <f>J57/V59</f>
        <v>3.0099999999999998E-2</v>
      </c>
      <c r="L57" s="38"/>
      <c r="M57" s="144"/>
      <c r="N57" s="67"/>
      <c r="O57" s="67"/>
      <c r="P57" s="67"/>
      <c r="Q57" s="198"/>
      <c r="R57" s="199"/>
      <c r="S57" s="84"/>
      <c r="T57" s="84"/>
      <c r="U57" s="199"/>
      <c r="V57" s="200"/>
      <c r="W57" s="57"/>
    </row>
    <row r="58" spans="1:25" ht="13.5" thickBot="1">
      <c r="A58" s="144"/>
      <c r="B58" s="175"/>
      <c r="C58" s="114" t="s">
        <v>107</v>
      </c>
      <c r="D58" s="102"/>
      <c r="E58" s="102"/>
      <c r="F58" s="110"/>
      <c r="G58" s="67"/>
      <c r="H58" s="131"/>
      <c r="I58" s="131"/>
      <c r="J58" s="129"/>
      <c r="K58" s="180"/>
      <c r="L58" s="38"/>
      <c r="M58" s="144"/>
      <c r="N58" s="67"/>
      <c r="O58" s="67"/>
      <c r="P58" s="67"/>
      <c r="Q58" s="144"/>
      <c r="R58" s="67"/>
      <c r="S58" s="67"/>
      <c r="T58" s="67"/>
      <c r="U58" s="67"/>
      <c r="V58" s="109"/>
      <c r="W58" s="201"/>
    </row>
    <row r="59" spans="1:25" ht="16.5" thickBot="1">
      <c r="A59" s="202"/>
      <c r="B59" s="203"/>
      <c r="C59" s="204" t="s">
        <v>107</v>
      </c>
      <c r="D59" s="205"/>
      <c r="E59" s="206" t="s">
        <v>127</v>
      </c>
      <c r="F59" s="207" t="s">
        <v>291</v>
      </c>
      <c r="G59" s="208"/>
      <c r="H59" s="208"/>
      <c r="I59" s="208"/>
      <c r="J59" s="209">
        <f>J56/(1-H57)</f>
        <v>2275.39</v>
      </c>
      <c r="K59" s="210">
        <f>J59/V59</f>
        <v>0.38590000000000002</v>
      </c>
      <c r="L59" s="38"/>
      <c r="M59" s="202"/>
      <c r="N59" s="211"/>
      <c r="O59" s="211"/>
      <c r="P59" s="211"/>
      <c r="Q59" s="212" t="s">
        <v>129</v>
      </c>
      <c r="R59" s="213" t="s">
        <v>288</v>
      </c>
      <c r="S59" s="214"/>
      <c r="T59" s="214"/>
      <c r="U59" s="213"/>
      <c r="V59" s="215">
        <f>V55+J59</f>
        <v>5896.89</v>
      </c>
      <c r="W59" s="216">
        <f>SUM(W55:W58)</f>
        <v>1</v>
      </c>
    </row>
    <row r="61" spans="1:25" ht="15.75">
      <c r="A61" s="30" t="s">
        <v>135</v>
      </c>
    </row>
    <row r="63" spans="1:25" ht="15.75">
      <c r="A63" s="30" t="str">
        <f>'Ônibus Equipe Capina'!A71</f>
        <v>Patos de Minas-MG, 01 de novembro de 2016</v>
      </c>
      <c r="G63" s="13"/>
      <c r="M63" s="11"/>
      <c r="S63" s="13"/>
    </row>
    <row r="64" spans="1:25" ht="15.75" thickBot="1">
      <c r="F64" s="694"/>
      <c r="G64" s="694"/>
      <c r="H64" s="694"/>
      <c r="I64" s="694"/>
      <c r="S64" s="11"/>
    </row>
    <row r="65" spans="1:19" ht="15.75" thickTop="1">
      <c r="F65" s="1" t="s">
        <v>346</v>
      </c>
      <c r="S65" s="11"/>
    </row>
    <row r="66" spans="1:19">
      <c r="F66" s="1" t="s">
        <v>347</v>
      </c>
    </row>
    <row r="67" spans="1:19">
      <c r="A67" s="217"/>
      <c r="B67" s="217"/>
      <c r="C67" s="217"/>
      <c r="D67" s="217"/>
      <c r="E67" s="217"/>
      <c r="F67" s="217"/>
      <c r="G67" s="217"/>
      <c r="H67" s="217"/>
      <c r="I67" s="217"/>
      <c r="J67" s="217"/>
    </row>
    <row r="91" ht="2.25" customHeight="1"/>
    <row r="92" ht="12.75" customHeight="1"/>
    <row r="93" ht="0.75" customHeight="1"/>
    <row r="118" spans="1:15" ht="12.75">
      <c r="L118" s="218"/>
      <c r="M118" s="219"/>
      <c r="N118" s="218"/>
      <c r="O118" s="219"/>
    </row>
    <row r="119" spans="1:15" ht="12.75">
      <c r="L119" s="218"/>
      <c r="M119" s="218"/>
      <c r="N119" s="218"/>
      <c r="O119" s="220"/>
    </row>
    <row r="120" spans="1:15" ht="12.75">
      <c r="L120" s="218"/>
      <c r="M120" s="218"/>
      <c r="N120" s="218"/>
      <c r="O120" s="220"/>
    </row>
    <row r="121" spans="1:15" ht="12.75">
      <c r="L121" s="218"/>
      <c r="M121" s="218"/>
      <c r="N121" s="218"/>
      <c r="O121" s="220"/>
    </row>
    <row r="122" spans="1:15" ht="12.75">
      <c r="L122" s="2"/>
      <c r="M122" s="2"/>
      <c r="N122" s="2"/>
      <c r="O122" s="221"/>
    </row>
    <row r="123" spans="1:15" ht="12.75">
      <c r="A123" s="218"/>
      <c r="B123" s="218"/>
      <c r="C123" s="218"/>
      <c r="D123" s="218"/>
      <c r="E123" s="222"/>
      <c r="F123" s="222"/>
      <c r="G123" s="222"/>
      <c r="H123" s="222"/>
      <c r="I123" s="222"/>
      <c r="J123" s="222"/>
      <c r="K123" s="222"/>
    </row>
    <row r="124" spans="1:15" ht="12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23"/>
      <c r="K124" s="223"/>
      <c r="L124" s="130"/>
    </row>
    <row r="125" spans="1:15" ht="12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5" ht="12.75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5" ht="12.75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</row>
    <row r="128" spans="1:15" ht="12.75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</row>
    <row r="129" spans="1:12" ht="12.75">
      <c r="A129" s="2"/>
      <c r="B129" s="2"/>
      <c r="C129" s="2"/>
      <c r="D129" s="2"/>
      <c r="E129" s="224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25"/>
      <c r="F130" s="225"/>
      <c r="G130" s="225"/>
      <c r="H130" s="225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21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21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6"/>
      <c r="C141" s="4"/>
      <c r="D141" s="226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"/>
    </row>
    <row r="145" spans="1:12">
      <c r="A145" s="4"/>
      <c r="B145" s="4"/>
      <c r="C145" s="6"/>
      <c r="D145" s="4"/>
      <c r="E145" s="4"/>
      <c r="F145" s="4"/>
      <c r="G145" s="227"/>
      <c r="H145" s="227"/>
      <c r="L145" s="4"/>
    </row>
    <row r="146" spans="1:12">
      <c r="A146" s="7"/>
      <c r="B146" s="7"/>
      <c r="C146" s="7"/>
      <c r="D146" s="7"/>
      <c r="E146" s="7"/>
      <c r="F146" s="7"/>
      <c r="G146" s="7"/>
      <c r="H146" s="7"/>
      <c r="L146" s="4"/>
    </row>
    <row r="147" spans="1:12">
      <c r="A147" s="4"/>
      <c r="B147" s="4"/>
      <c r="C147" s="4"/>
      <c r="D147" s="4"/>
      <c r="E147" s="4"/>
      <c r="F147" s="4"/>
      <c r="G147" s="4"/>
      <c r="H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L148" s="4"/>
    </row>
    <row r="149" spans="1:12">
      <c r="B149" s="228"/>
      <c r="C149" s="229"/>
      <c r="G149" s="230"/>
      <c r="H149" s="229"/>
      <c r="L149" s="4"/>
    </row>
    <row r="150" spans="1:12">
      <c r="G150" s="231"/>
      <c r="L150" s="4"/>
    </row>
    <row r="151" spans="1:12">
      <c r="G151" s="231"/>
      <c r="L151" s="4"/>
    </row>
    <row r="152" spans="1:12">
      <c r="B152" s="228"/>
      <c r="C152" s="229"/>
      <c r="G152" s="230"/>
      <c r="H152" s="229"/>
      <c r="L152" s="4"/>
    </row>
    <row r="153" spans="1:12">
      <c r="G153" s="20"/>
      <c r="L153" s="4"/>
    </row>
    <row r="154" spans="1:12">
      <c r="G154" s="20"/>
      <c r="L154" s="4"/>
    </row>
    <row r="155" spans="1:12">
      <c r="B155" s="3"/>
      <c r="C155" s="232"/>
      <c r="G155" s="230"/>
      <c r="H155" s="229"/>
      <c r="L155" s="4"/>
    </row>
    <row r="156" spans="1:12">
      <c r="G156" s="20"/>
      <c r="L156" s="4"/>
    </row>
    <row r="157" spans="1:12">
      <c r="G157" s="20"/>
      <c r="L157" s="4"/>
    </row>
    <row r="158" spans="1:12">
      <c r="B158" s="3"/>
      <c r="C158" s="233"/>
      <c r="G158" s="230"/>
      <c r="H158" s="234"/>
      <c r="L158" s="4"/>
    </row>
    <row r="159" spans="1:12">
      <c r="J159" s="4"/>
      <c r="K159" s="4"/>
      <c r="L159" s="4"/>
    </row>
    <row r="160" spans="1:12">
      <c r="A160" s="235"/>
      <c r="B160" s="235"/>
      <c r="C160" s="235"/>
      <c r="D160" s="235"/>
      <c r="E160" s="235"/>
      <c r="F160" s="235"/>
      <c r="G160" s="235"/>
      <c r="H160" s="235"/>
      <c r="I160" s="235"/>
      <c r="J160" s="7"/>
      <c r="K160" s="7"/>
      <c r="L160" s="4"/>
    </row>
    <row r="161" spans="1:12">
      <c r="J161" s="4"/>
      <c r="K161" s="4"/>
      <c r="L161" s="4"/>
    </row>
    <row r="162" spans="1:12">
      <c r="B162" s="228"/>
      <c r="D162" s="234"/>
      <c r="J162" s="4"/>
      <c r="K162" s="4"/>
      <c r="L162" s="4"/>
    </row>
    <row r="163" spans="1:12">
      <c r="J163" s="4"/>
      <c r="K163" s="4"/>
      <c r="L163" s="4"/>
    </row>
    <row r="164" spans="1:12">
      <c r="A164" s="235"/>
      <c r="B164" s="235"/>
      <c r="C164" s="235"/>
      <c r="D164" s="235"/>
      <c r="E164" s="235"/>
      <c r="F164" s="235"/>
      <c r="G164" s="235"/>
      <c r="H164" s="235"/>
      <c r="I164" s="235"/>
      <c r="J164" s="7"/>
      <c r="K164" s="7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</sheetData>
  <mergeCells count="6">
    <mergeCell ref="R36:S36"/>
    <mergeCell ref="F44:G44"/>
    <mergeCell ref="A1:K1"/>
    <mergeCell ref="M1:W1"/>
    <mergeCell ref="A5:J5"/>
    <mergeCell ref="R11:S11"/>
  </mergeCells>
  <phoneticPr fontId="35" type="noConversion"/>
  <printOptions horizontalCentered="1"/>
  <pageMargins left="0" right="0" top="0.78740157480314965" bottom="0.19685039370078741" header="0.31496062992125984" footer="0.31496062992125984"/>
  <pageSetup paperSize="9" scale="50" orientation="landscape" r:id="rId1"/>
  <headerFooter alignWithMargins="0">
    <oddHeader>Página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66"/>
  <sheetViews>
    <sheetView topLeftCell="A49" workbookViewId="0">
      <selection activeCell="E65" sqref="E65:H67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7.375" style="1" customWidth="1"/>
    <col min="6" max="6" width="10.75" style="1" customWidth="1"/>
    <col min="7" max="7" width="34.625" style="1" customWidth="1"/>
    <col min="8" max="8" width="13.125" style="1" customWidth="1"/>
    <col min="9" max="9" width="13" style="1" customWidth="1"/>
    <col min="10" max="10" width="12.375" style="1" customWidth="1"/>
    <col min="11" max="11" width="7.25" style="1" customWidth="1"/>
    <col min="12" max="12" width="0.875" style="1" customWidth="1"/>
    <col min="13" max="21" width="11" style="1" customWidth="1"/>
    <col min="22" max="22" width="11.625" style="1" customWidth="1"/>
    <col min="23" max="23" width="8.875" style="1" customWidth="1"/>
    <col min="24" max="16384" width="11" style="1"/>
  </cols>
  <sheetData>
    <row r="1" spans="1:28" ht="22.5" customHeight="1" thickBot="1">
      <c r="A1" s="668" t="s">
        <v>139</v>
      </c>
      <c r="B1" s="669"/>
      <c r="C1" s="669"/>
      <c r="D1" s="669"/>
      <c r="E1" s="669"/>
      <c r="F1" s="669"/>
      <c r="G1" s="669"/>
      <c r="H1" s="669"/>
      <c r="I1" s="669"/>
      <c r="J1" s="669"/>
      <c r="K1" s="670"/>
      <c r="L1" s="38"/>
      <c r="M1" s="662" t="str">
        <f>A1</f>
        <v>CUSTO   DE   CAMINHÃO   BASCULANTE   VARRIÇÃO</v>
      </c>
      <c r="N1" s="663"/>
      <c r="O1" s="663"/>
      <c r="P1" s="663"/>
      <c r="Q1" s="663"/>
      <c r="R1" s="663"/>
      <c r="S1" s="663"/>
      <c r="T1" s="663"/>
      <c r="U1" s="663"/>
      <c r="V1" s="663"/>
      <c r="W1" s="664"/>
    </row>
    <row r="2" spans="1:28" ht="20.25">
      <c r="A2" s="39" t="s">
        <v>20</v>
      </c>
      <c r="B2" s="40"/>
      <c r="C2" s="41"/>
      <c r="D2" s="40"/>
      <c r="E2" s="40"/>
      <c r="F2" s="40"/>
      <c r="G2" s="42"/>
      <c r="H2" s="40"/>
      <c r="I2" s="40"/>
      <c r="J2" s="40"/>
      <c r="K2" s="43"/>
      <c r="L2" s="38"/>
      <c r="M2" s="44" t="str">
        <f>A2</f>
        <v xml:space="preserve">DEMONSTRATIVO MENSAL DE CUSTO OPERACIONAL UNITÁRIO DE VEÍCULO </v>
      </c>
      <c r="N2" s="45"/>
      <c r="O2" s="45"/>
      <c r="P2" s="45"/>
      <c r="Q2" s="45"/>
      <c r="R2" s="45"/>
      <c r="S2" s="46"/>
      <c r="T2" s="45"/>
      <c r="U2" s="45"/>
      <c r="V2" s="45"/>
      <c r="W2" s="47"/>
    </row>
    <row r="3" spans="1:28" ht="21" thickBot="1">
      <c r="A3" s="48" t="s">
        <v>137</v>
      </c>
      <c r="B3" s="49"/>
      <c r="C3" s="49"/>
      <c r="D3" s="49"/>
      <c r="E3" s="50"/>
      <c r="F3" s="49"/>
      <c r="G3" s="49"/>
      <c r="H3" s="49"/>
      <c r="I3" s="49"/>
      <c r="J3" s="49"/>
      <c r="K3" s="51" t="s">
        <v>21</v>
      </c>
      <c r="L3" s="38"/>
      <c r="M3" s="52" t="s">
        <v>22</v>
      </c>
      <c r="N3" s="53"/>
      <c r="O3" s="53"/>
      <c r="P3" s="53"/>
      <c r="Q3" s="53"/>
      <c r="R3" s="53"/>
      <c r="S3" s="53"/>
      <c r="T3" s="53"/>
      <c r="U3" s="53"/>
      <c r="V3" s="53"/>
      <c r="W3" s="54" t="s">
        <v>21</v>
      </c>
    </row>
    <row r="4" spans="1:28" ht="12.75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  <c r="L4" s="38"/>
      <c r="M4" s="58" t="str">
        <f>A6</f>
        <v>Descrição do Veiculo: CAMINHÃO   BASCULANTE   -   Tipo   MBB 1618  ou   SIMILAR</v>
      </c>
      <c r="N4" s="59"/>
      <c r="O4" s="59"/>
      <c r="P4" s="59"/>
      <c r="Q4" s="59"/>
      <c r="R4" s="59"/>
      <c r="S4" s="59"/>
      <c r="T4" s="59"/>
      <c r="U4" s="59"/>
      <c r="V4" s="60"/>
      <c r="W4" s="61"/>
    </row>
    <row r="5" spans="1:28" ht="20.25">
      <c r="A5" s="665" t="s">
        <v>23</v>
      </c>
      <c r="B5" s="666"/>
      <c r="C5" s="666"/>
      <c r="D5" s="666"/>
      <c r="E5" s="666"/>
      <c r="F5" s="666"/>
      <c r="G5" s="666"/>
      <c r="H5" s="666"/>
      <c r="I5" s="666"/>
      <c r="J5" s="667"/>
      <c r="K5" s="62"/>
      <c r="L5" s="38"/>
      <c r="M5" s="63" t="str">
        <f>A7</f>
        <v>Ano de Fabricação: 2006</v>
      </c>
      <c r="N5" s="64"/>
      <c r="O5" s="64" t="str">
        <f>A9</f>
        <v>Contratante:</v>
      </c>
      <c r="P5" s="65" t="str">
        <f>B9</f>
        <v>PREFEITURA   MUNICIPAL   DE   PATOS   DE   MINAS - MG</v>
      </c>
      <c r="Q5" s="66"/>
      <c r="R5" s="64"/>
      <c r="S5" s="64"/>
      <c r="T5" s="64"/>
      <c r="U5" s="64"/>
      <c r="V5" s="67"/>
      <c r="W5" s="57"/>
    </row>
    <row r="6" spans="1:28" ht="12.75">
      <c r="A6" s="58" t="s">
        <v>24</v>
      </c>
      <c r="B6" s="59"/>
      <c r="C6" s="59"/>
      <c r="D6" s="59"/>
      <c r="E6" s="68"/>
      <c r="F6" s="59"/>
      <c r="G6" s="59"/>
      <c r="H6" s="59"/>
      <c r="I6" s="59"/>
      <c r="J6" s="60"/>
      <c r="K6" s="69"/>
      <c r="L6" s="38"/>
      <c r="M6" s="63" t="str">
        <f>A8</f>
        <v>Tipo de Combustível: Diesel</v>
      </c>
      <c r="N6" s="64"/>
      <c r="O6" s="64"/>
      <c r="P6" s="64"/>
      <c r="Q6" s="70"/>
      <c r="R6" s="64"/>
      <c r="S6" s="64"/>
      <c r="T6" s="64"/>
      <c r="U6" s="64"/>
      <c r="V6" s="67"/>
      <c r="W6" s="57"/>
    </row>
    <row r="7" spans="1:28" ht="12.75">
      <c r="A7" s="63" t="s">
        <v>343</v>
      </c>
      <c r="B7" s="64"/>
      <c r="C7" s="64"/>
      <c r="D7" s="64"/>
      <c r="E7" s="64"/>
      <c r="F7" s="64"/>
      <c r="G7" s="64"/>
      <c r="H7" s="64"/>
      <c r="I7" s="64"/>
      <c r="J7" s="67"/>
      <c r="K7" s="71"/>
      <c r="L7" s="38"/>
      <c r="M7" s="72" t="str">
        <f>A10</f>
        <v xml:space="preserve">Km Estimada: </v>
      </c>
      <c r="N7" s="67"/>
      <c r="O7" s="73">
        <f>C10</f>
        <v>2000</v>
      </c>
      <c r="P7" s="67" t="str">
        <f>D10</f>
        <v>Km</v>
      </c>
      <c r="Q7" s="67"/>
      <c r="R7" s="67"/>
      <c r="S7" s="67"/>
      <c r="T7" s="67"/>
      <c r="U7" s="67"/>
      <c r="V7" s="67"/>
      <c r="W7" s="57"/>
    </row>
    <row r="8" spans="1:28" ht="12.75">
      <c r="A8" s="63" t="s">
        <v>25</v>
      </c>
      <c r="B8" s="64"/>
      <c r="C8" s="64"/>
      <c r="D8" s="64"/>
      <c r="E8" s="64"/>
      <c r="F8" s="64"/>
      <c r="G8" s="64"/>
      <c r="H8" s="64" t="s">
        <v>26</v>
      </c>
      <c r="I8" s="74">
        <v>0</v>
      </c>
      <c r="J8" s="67"/>
      <c r="K8" s="71"/>
      <c r="L8" s="38"/>
      <c r="M8" s="75" t="str">
        <f>A11</f>
        <v>Horário:</v>
      </c>
      <c r="N8" s="76">
        <v>0.33333333333333298</v>
      </c>
      <c r="O8" s="77" t="s">
        <v>27</v>
      </c>
      <c r="P8" s="76">
        <f>D11</f>
        <v>0.75</v>
      </c>
      <c r="Q8" s="78" t="s">
        <v>28</v>
      </c>
      <c r="R8" s="79"/>
      <c r="S8" s="80"/>
      <c r="T8" s="80"/>
      <c r="U8" s="80"/>
      <c r="V8" s="80"/>
      <c r="W8" s="57"/>
    </row>
    <row r="9" spans="1:28" ht="15.75">
      <c r="A9" s="63" t="s">
        <v>29</v>
      </c>
      <c r="B9" s="65" t="s">
        <v>30</v>
      </c>
      <c r="C9" s="64"/>
      <c r="D9" s="64"/>
      <c r="E9" s="64"/>
      <c r="F9" s="64"/>
      <c r="G9" s="64"/>
      <c r="H9" s="64"/>
      <c r="I9" s="74"/>
      <c r="J9" s="67"/>
      <c r="K9" s="71"/>
      <c r="L9" s="38"/>
      <c r="M9" s="72"/>
      <c r="N9" s="81"/>
      <c r="O9" s="82"/>
      <c r="P9" s="81"/>
      <c r="Q9" s="83"/>
      <c r="R9" s="81"/>
      <c r="S9" s="67"/>
      <c r="T9" s="67"/>
      <c r="U9" s="67"/>
      <c r="V9" s="67"/>
      <c r="W9" s="57"/>
    </row>
    <row r="10" spans="1:28" ht="12.75">
      <c r="A10" s="63" t="s">
        <v>31</v>
      </c>
      <c r="B10" s="84"/>
      <c r="C10" s="85">
        <v>2000</v>
      </c>
      <c r="D10" s="64" t="s">
        <v>32</v>
      </c>
      <c r="E10" s="84"/>
      <c r="F10" s="84"/>
      <c r="G10" s="67"/>
      <c r="H10" s="67"/>
      <c r="I10" s="67"/>
      <c r="J10" s="67"/>
      <c r="K10" s="71"/>
      <c r="L10" s="38"/>
      <c r="M10" s="86"/>
      <c r="N10" s="87"/>
      <c r="O10" s="87"/>
      <c r="P10" s="87"/>
      <c r="Q10" s="87"/>
      <c r="R10" s="60"/>
      <c r="S10" s="88"/>
      <c r="T10" s="87"/>
      <c r="U10" s="89" t="s">
        <v>33</v>
      </c>
      <c r="V10" s="90"/>
      <c r="W10" s="57"/>
      <c r="AB10" s="1">
        <f>180.55*20</f>
        <v>3611</v>
      </c>
    </row>
    <row r="11" spans="1:28" ht="12.75">
      <c r="A11" s="75" t="s">
        <v>34</v>
      </c>
      <c r="B11" s="91">
        <v>0.33333333333333298</v>
      </c>
      <c r="C11" s="77" t="s">
        <v>27</v>
      </c>
      <c r="D11" s="91">
        <v>0.75</v>
      </c>
      <c r="E11" s="78" t="s">
        <v>28</v>
      </c>
      <c r="F11" s="79"/>
      <c r="G11" s="80"/>
      <c r="H11" s="80"/>
      <c r="I11" s="80"/>
      <c r="J11" s="80"/>
      <c r="K11" s="71"/>
      <c r="L11" s="38"/>
      <c r="M11" s="16" t="s">
        <v>35</v>
      </c>
      <c r="N11" s="12" t="s">
        <v>36</v>
      </c>
      <c r="O11" s="12" t="s">
        <v>37</v>
      </c>
      <c r="P11" s="12" t="s">
        <v>36</v>
      </c>
      <c r="Q11" s="12" t="s">
        <v>38</v>
      </c>
      <c r="R11" s="657" t="s">
        <v>39</v>
      </c>
      <c r="S11" s="658"/>
      <c r="T11" s="12" t="s">
        <v>40</v>
      </c>
      <c r="U11" s="12" t="s">
        <v>41</v>
      </c>
      <c r="V11" s="92" t="s">
        <v>42</v>
      </c>
      <c r="W11" s="57"/>
      <c r="AB11" s="1">
        <f>1120.82*4</f>
        <v>4483.28</v>
      </c>
    </row>
    <row r="12" spans="1:28" ht="12.75">
      <c r="A12" s="14"/>
      <c r="B12" s="15"/>
      <c r="C12" s="15"/>
      <c r="D12" s="15"/>
      <c r="E12" s="15"/>
      <c r="F12" s="15"/>
      <c r="G12" s="15"/>
      <c r="H12" s="15"/>
      <c r="I12" s="89" t="s">
        <v>33</v>
      </c>
      <c r="J12" s="93"/>
      <c r="K12" s="94"/>
      <c r="L12" s="38"/>
      <c r="M12" s="95"/>
      <c r="N12" s="96"/>
      <c r="O12" s="96"/>
      <c r="P12" s="96"/>
      <c r="Q12" s="96"/>
      <c r="R12" s="80"/>
      <c r="S12" s="97"/>
      <c r="T12" s="96"/>
      <c r="U12" s="98" t="s">
        <v>43</v>
      </c>
      <c r="V12" s="99"/>
      <c r="W12" s="100"/>
    </row>
    <row r="13" spans="1:28" ht="12.75">
      <c r="A13" s="16" t="s">
        <v>44</v>
      </c>
      <c r="B13" s="12" t="s">
        <v>36</v>
      </c>
      <c r="C13" s="12" t="s">
        <v>45</v>
      </c>
      <c r="D13" s="12" t="s">
        <v>36</v>
      </c>
      <c r="E13" s="12" t="s">
        <v>35</v>
      </c>
      <c r="F13" s="12" t="s">
        <v>38</v>
      </c>
      <c r="G13" s="12" t="s">
        <v>39</v>
      </c>
      <c r="H13" s="12" t="s">
        <v>40</v>
      </c>
      <c r="I13" s="12" t="s">
        <v>41</v>
      </c>
      <c r="J13" s="92" t="s">
        <v>42</v>
      </c>
      <c r="K13" s="101"/>
      <c r="L13" s="38"/>
      <c r="M13" s="86"/>
      <c r="N13" s="87"/>
      <c r="O13" s="87"/>
      <c r="P13" s="102"/>
      <c r="Q13" s="102"/>
      <c r="R13" s="67"/>
      <c r="S13" s="67"/>
      <c r="T13" s="87"/>
      <c r="U13" s="102"/>
      <c r="V13" s="90"/>
      <c r="W13" s="57"/>
      <c r="AB13" s="1">
        <f>SUM(AB10:AB12)</f>
        <v>8094.28</v>
      </c>
    </row>
    <row r="14" spans="1:28" ht="12.75">
      <c r="A14" s="103"/>
      <c r="B14" s="104"/>
      <c r="C14" s="104"/>
      <c r="D14" s="104"/>
      <c r="E14" s="104"/>
      <c r="F14" s="104"/>
      <c r="G14" s="104"/>
      <c r="H14" s="104"/>
      <c r="I14" s="98" t="s">
        <v>43</v>
      </c>
      <c r="J14" s="105"/>
      <c r="K14" s="94"/>
      <c r="L14" s="38"/>
      <c r="M14" s="106"/>
      <c r="N14" s="102"/>
      <c r="O14" s="102"/>
      <c r="P14" s="102"/>
      <c r="Q14" s="107" t="s">
        <v>46</v>
      </c>
      <c r="R14" s="108" t="s">
        <v>47</v>
      </c>
      <c r="S14" s="109"/>
      <c r="T14" s="102"/>
      <c r="U14" s="102"/>
      <c r="V14" s="92" t="s">
        <v>42</v>
      </c>
      <c r="W14" s="57"/>
    </row>
    <row r="15" spans="1:28" ht="12.75">
      <c r="A15" s="106"/>
      <c r="B15" s="102"/>
      <c r="C15" s="102"/>
      <c r="D15" s="102"/>
      <c r="E15" s="102"/>
      <c r="F15" s="102"/>
      <c r="G15" s="102"/>
      <c r="H15" s="102"/>
      <c r="I15" s="102"/>
      <c r="J15" s="110"/>
      <c r="K15" s="71"/>
      <c r="L15" s="38"/>
      <c r="M15" s="106"/>
      <c r="N15" s="102"/>
      <c r="O15" s="102"/>
      <c r="P15" s="102"/>
      <c r="Q15" s="102"/>
      <c r="R15" s="67"/>
      <c r="S15" s="109"/>
      <c r="T15" s="102"/>
      <c r="U15" s="111"/>
      <c r="V15" s="110"/>
      <c r="W15" s="57"/>
    </row>
    <row r="16" spans="1:28" ht="12.75">
      <c r="A16" s="106"/>
      <c r="B16" s="102"/>
      <c r="C16" s="102"/>
      <c r="D16" s="102"/>
      <c r="E16" s="102"/>
      <c r="F16" s="107" t="s">
        <v>48</v>
      </c>
      <c r="G16" s="12" t="s">
        <v>49</v>
      </c>
      <c r="H16" s="102"/>
      <c r="I16" s="102"/>
      <c r="J16" s="110"/>
      <c r="K16" s="71"/>
      <c r="L16" s="38"/>
      <c r="M16" s="615">
        <v>2.5</v>
      </c>
      <c r="N16" s="12" t="s">
        <v>50</v>
      </c>
      <c r="O16" s="112">
        <v>1000000</v>
      </c>
      <c r="P16" s="12" t="s">
        <v>32</v>
      </c>
      <c r="Q16" s="107" t="s">
        <v>51</v>
      </c>
      <c r="R16" s="108" t="s">
        <v>52</v>
      </c>
      <c r="S16" s="109"/>
      <c r="T16" s="113">
        <f>(M16/O16)</f>
        <v>2.5000000000000002E-6</v>
      </c>
      <c r="U16" s="114">
        <f>I18</f>
        <v>51272.4</v>
      </c>
      <c r="V16" s="115">
        <f t="shared" ref="V16:V22" si="0">(+U16*T16)</f>
        <v>0.12820000000000001</v>
      </c>
      <c r="W16" s="116">
        <f>V16*C10/V59</f>
        <v>4.9700000000000001E-2</v>
      </c>
    </row>
    <row r="17" spans="1:26" ht="12.75">
      <c r="A17" s="106"/>
      <c r="B17" s="102"/>
      <c r="C17" s="102"/>
      <c r="D17" s="102"/>
      <c r="E17" s="102"/>
      <c r="F17" s="102"/>
      <c r="G17" s="102"/>
      <c r="H17" s="102"/>
      <c r="I17" s="102"/>
      <c r="J17" s="110"/>
      <c r="K17" s="71"/>
      <c r="L17" s="38"/>
      <c r="M17" s="616">
        <v>15</v>
      </c>
      <c r="N17" s="12" t="s">
        <v>21</v>
      </c>
      <c r="O17" s="112" t="s">
        <v>53</v>
      </c>
      <c r="P17" s="117" t="s">
        <v>53</v>
      </c>
      <c r="Q17" s="107" t="s">
        <v>54</v>
      </c>
      <c r="R17" s="108" t="s">
        <v>55</v>
      </c>
      <c r="S17" s="109"/>
      <c r="T17" s="113">
        <f>(+M17/100)</f>
        <v>0.15</v>
      </c>
      <c r="U17" s="118">
        <f>V16</f>
        <v>0.12820000000000001</v>
      </c>
      <c r="V17" s="115">
        <f t="shared" si="0"/>
        <v>1.9199999999999998E-2</v>
      </c>
      <c r="W17" s="116">
        <f>V17*C10/V59</f>
        <v>7.4000000000000003E-3</v>
      </c>
    </row>
    <row r="18" spans="1:26" ht="12.75">
      <c r="A18" s="119">
        <v>100</v>
      </c>
      <c r="B18" s="120" t="s">
        <v>21</v>
      </c>
      <c r="C18" s="197">
        <f>12*8</f>
        <v>96</v>
      </c>
      <c r="D18" s="12" t="s">
        <v>56</v>
      </c>
      <c r="E18" s="122" t="s">
        <v>57</v>
      </c>
      <c r="F18" s="122" t="s">
        <v>58</v>
      </c>
      <c r="G18" s="122" t="s">
        <v>59</v>
      </c>
      <c r="H18" s="123">
        <f>(+A18/C18)/100</f>
        <v>1.0416699999999999E-2</v>
      </c>
      <c r="I18" s="121">
        <f>I20-(M18*U18)</f>
        <v>51272.4</v>
      </c>
      <c r="J18" s="124">
        <f>(H18*I18)</f>
        <v>534.09</v>
      </c>
      <c r="K18" s="125">
        <f>J18/V59</f>
        <v>0.1036</v>
      </c>
      <c r="L18" s="38"/>
      <c r="M18" s="126">
        <v>6</v>
      </c>
      <c r="N18" s="12" t="s">
        <v>60</v>
      </c>
      <c r="O18" s="127">
        <v>100000</v>
      </c>
      <c r="P18" s="12" t="s">
        <v>32</v>
      </c>
      <c r="Q18" s="107" t="s">
        <v>61</v>
      </c>
      <c r="R18" s="70" t="s">
        <v>62</v>
      </c>
      <c r="S18" s="66"/>
      <c r="T18" s="113">
        <f>(+M18/O18)</f>
        <v>6.0000000000000002E-5</v>
      </c>
      <c r="U18" s="197">
        <v>1454.6</v>
      </c>
      <c r="V18" s="115">
        <f t="shared" si="0"/>
        <v>8.7300000000000003E-2</v>
      </c>
      <c r="W18" s="116">
        <f>V18*C10/V59</f>
        <v>3.39E-2</v>
      </c>
      <c r="Z18" s="1">
        <f>180.55*25</f>
        <v>4513.75</v>
      </c>
    </row>
    <row r="19" spans="1:26" ht="12.75">
      <c r="A19" s="128">
        <f>A18</f>
        <v>100</v>
      </c>
      <c r="B19" s="12" t="s">
        <v>21</v>
      </c>
      <c r="C19" s="114">
        <f>C18</f>
        <v>96</v>
      </c>
      <c r="D19" s="12" t="s">
        <v>56</v>
      </c>
      <c r="E19" s="107" t="s">
        <v>57</v>
      </c>
      <c r="F19" s="107" t="s">
        <v>63</v>
      </c>
      <c r="G19" s="107" t="s">
        <v>64</v>
      </c>
      <c r="H19" s="113">
        <f>(+A19/C19)/100</f>
        <v>1.0416699999999999E-2</v>
      </c>
      <c r="I19" s="114">
        <f>I18*I8</f>
        <v>0</v>
      </c>
      <c r="J19" s="124">
        <f>(H19*I19)</f>
        <v>0</v>
      </c>
      <c r="K19" s="125" t="s">
        <v>65</v>
      </c>
      <c r="L19" s="38"/>
      <c r="M19" s="126">
        <v>1</v>
      </c>
      <c r="N19" s="12" t="s">
        <v>66</v>
      </c>
      <c r="O19" s="179">
        <v>3.5</v>
      </c>
      <c r="P19" s="12" t="s">
        <v>32</v>
      </c>
      <c r="Q19" s="107" t="s">
        <v>67</v>
      </c>
      <c r="R19" s="70" t="s">
        <v>68</v>
      </c>
      <c r="S19" s="66"/>
      <c r="T19" s="113">
        <f>(+M19/O19)</f>
        <v>0.28571429999999998</v>
      </c>
      <c r="U19" s="197">
        <v>3.04</v>
      </c>
      <c r="V19" s="115">
        <f t="shared" si="0"/>
        <v>0.86860000000000004</v>
      </c>
      <c r="W19" s="116">
        <f>V19*C10/V59</f>
        <v>0.33679999999999999</v>
      </c>
      <c r="Z19" s="1">
        <f>1120.82</f>
        <v>1120.82</v>
      </c>
    </row>
    <row r="20" spans="1:26" ht="12.75">
      <c r="A20" s="354">
        <v>18</v>
      </c>
      <c r="B20" s="120" t="s">
        <v>21</v>
      </c>
      <c r="C20" s="121">
        <v>12</v>
      </c>
      <c r="D20" s="12" t="s">
        <v>56</v>
      </c>
      <c r="E20" s="122" t="s">
        <v>57</v>
      </c>
      <c r="F20" s="122" t="s">
        <v>69</v>
      </c>
      <c r="G20" s="122" t="s">
        <v>70</v>
      </c>
      <c r="H20" s="123">
        <f>(+A20/C20)/100</f>
        <v>1.4999999999999999E-2</v>
      </c>
      <c r="I20" s="197">
        <v>60000</v>
      </c>
      <c r="J20" s="124">
        <f>(H20*I20)</f>
        <v>900</v>
      </c>
      <c r="K20" s="125">
        <f>J20/V59</f>
        <v>0.17449999999999999</v>
      </c>
      <c r="L20" s="38"/>
      <c r="M20" s="126">
        <v>10.27</v>
      </c>
      <c r="N20" s="12" t="s">
        <v>66</v>
      </c>
      <c r="O20" s="618">
        <v>7500</v>
      </c>
      <c r="P20" s="12" t="s">
        <v>32</v>
      </c>
      <c r="Q20" s="107" t="s">
        <v>71</v>
      </c>
      <c r="R20" s="108" t="s">
        <v>72</v>
      </c>
      <c r="S20" s="109"/>
      <c r="T20" s="113">
        <f>(+M20/O20)</f>
        <v>1.3692999999999999E-3</v>
      </c>
      <c r="U20" s="197">
        <v>19</v>
      </c>
      <c r="V20" s="115">
        <f t="shared" si="0"/>
        <v>2.5999999999999999E-2</v>
      </c>
      <c r="W20" s="116">
        <f>V20*C10/V59</f>
        <v>1.01E-2</v>
      </c>
      <c r="Z20" s="1">
        <f>SUM(Z18:Z19)</f>
        <v>5634.57</v>
      </c>
    </row>
    <row r="21" spans="1:26" ht="12.75">
      <c r="A21" s="128">
        <f>A20</f>
        <v>18</v>
      </c>
      <c r="B21" s="12" t="s">
        <v>21</v>
      </c>
      <c r="C21" s="114">
        <f>C20</f>
        <v>12</v>
      </c>
      <c r="D21" s="12" t="s">
        <v>56</v>
      </c>
      <c r="E21" s="107" t="s">
        <v>57</v>
      </c>
      <c r="F21" s="107" t="s">
        <v>73</v>
      </c>
      <c r="G21" s="107" t="s">
        <v>74</v>
      </c>
      <c r="H21" s="113">
        <f>(+A21/C21)/100</f>
        <v>1.4999999999999999E-2</v>
      </c>
      <c r="I21" s="114">
        <f>I20*I8</f>
        <v>0</v>
      </c>
      <c r="J21" s="124">
        <f>(H21*I21)</f>
        <v>0</v>
      </c>
      <c r="K21" s="125" t="s">
        <v>65</v>
      </c>
      <c r="L21" s="38"/>
      <c r="M21" s="126">
        <v>9.5</v>
      </c>
      <c r="N21" s="12" t="s">
        <v>66</v>
      </c>
      <c r="O21" s="618">
        <v>30000</v>
      </c>
      <c r="P21" s="12" t="s">
        <v>32</v>
      </c>
      <c r="Q21" s="107" t="s">
        <v>75</v>
      </c>
      <c r="R21" s="108" t="s">
        <v>76</v>
      </c>
      <c r="S21" s="109"/>
      <c r="T21" s="113">
        <f>(+M21/O21)</f>
        <v>3.167E-4</v>
      </c>
      <c r="U21" s="197">
        <v>22</v>
      </c>
      <c r="V21" s="115">
        <f t="shared" si="0"/>
        <v>7.0000000000000001E-3</v>
      </c>
      <c r="W21" s="116">
        <f>V21*C10/V59</f>
        <v>2.7000000000000001E-3</v>
      </c>
    </row>
    <row r="22" spans="1:26" ht="12.75">
      <c r="A22" s="128">
        <v>1</v>
      </c>
      <c r="B22" s="12" t="s">
        <v>77</v>
      </c>
      <c r="C22" s="114">
        <v>12</v>
      </c>
      <c r="D22" s="12" t="s">
        <v>56</v>
      </c>
      <c r="E22" s="107" t="s">
        <v>57</v>
      </c>
      <c r="F22" s="107" t="s">
        <v>78</v>
      </c>
      <c r="G22" s="107" t="s">
        <v>79</v>
      </c>
      <c r="H22" s="113">
        <f>A22/C22</f>
        <v>8.3333299999999999E-2</v>
      </c>
      <c r="I22" s="398">
        <v>450</v>
      </c>
      <c r="J22" s="129">
        <f>(I22*H22)</f>
        <v>37.5</v>
      </c>
      <c r="K22" s="125">
        <f>J22/V59</f>
        <v>7.3000000000000001E-3</v>
      </c>
      <c r="L22" s="38"/>
      <c r="M22" s="126">
        <v>1</v>
      </c>
      <c r="N22" s="12" t="s">
        <v>60</v>
      </c>
      <c r="O22" s="618">
        <v>4000</v>
      </c>
      <c r="P22" s="12" t="s">
        <v>32</v>
      </c>
      <c r="Q22" s="107" t="s">
        <v>80</v>
      </c>
      <c r="R22" s="108" t="s">
        <v>81</v>
      </c>
      <c r="S22" s="109"/>
      <c r="T22" s="113">
        <f>(+M22/O22)</f>
        <v>2.5000000000000001E-4</v>
      </c>
      <c r="U22" s="197">
        <v>100</v>
      </c>
      <c r="V22" s="115">
        <f t="shared" si="0"/>
        <v>2.5000000000000001E-2</v>
      </c>
      <c r="W22" s="116">
        <f>V22*C10/V59</f>
        <v>9.7000000000000003E-3</v>
      </c>
      <c r="Z22" s="130">
        <f>Z20/25</f>
        <v>225.38</v>
      </c>
    </row>
    <row r="23" spans="1:26" ht="12.75">
      <c r="A23" s="128">
        <v>1</v>
      </c>
      <c r="B23" s="12" t="s">
        <v>77</v>
      </c>
      <c r="C23" s="114">
        <v>12</v>
      </c>
      <c r="D23" s="12" t="s">
        <v>56</v>
      </c>
      <c r="E23" s="107" t="s">
        <v>57</v>
      </c>
      <c r="F23" s="107" t="s">
        <v>82</v>
      </c>
      <c r="G23" s="107" t="s">
        <v>83</v>
      </c>
      <c r="H23" s="113">
        <f>A23/C23</f>
        <v>8.3333299999999999E-2</v>
      </c>
      <c r="I23" s="398">
        <v>1200</v>
      </c>
      <c r="J23" s="129">
        <f>(I23*H23)</f>
        <v>100</v>
      </c>
      <c r="K23" s="125">
        <f>J23/V59</f>
        <v>1.9400000000000001E-2</v>
      </c>
      <c r="L23" s="38"/>
      <c r="M23" s="126"/>
      <c r="N23" s="102"/>
      <c r="O23" s="112"/>
      <c r="P23" s="102"/>
      <c r="Q23" s="102"/>
      <c r="R23" s="67"/>
      <c r="S23" s="109"/>
      <c r="T23" s="131"/>
      <c r="U23" s="114"/>
      <c r="V23" s="115"/>
      <c r="W23" s="100"/>
    </row>
    <row r="24" spans="1:26" ht="12.75">
      <c r="A24" s="619">
        <v>3</v>
      </c>
      <c r="B24" s="12" t="s">
        <v>84</v>
      </c>
      <c r="C24" s="114">
        <v>12</v>
      </c>
      <c r="D24" s="12" t="s">
        <v>56</v>
      </c>
      <c r="E24" s="107" t="s">
        <v>57</v>
      </c>
      <c r="F24" s="107" t="s">
        <v>85</v>
      </c>
      <c r="G24" s="107" t="s">
        <v>316</v>
      </c>
      <c r="H24" s="113">
        <f>1/12</f>
        <v>8.3333299999999999E-2</v>
      </c>
      <c r="I24" s="114">
        <f>(+I20*A24)/100</f>
        <v>1800</v>
      </c>
      <c r="J24" s="129">
        <f>(I24*H24)</f>
        <v>150</v>
      </c>
      <c r="K24" s="125">
        <f>J24/V59</f>
        <v>2.9100000000000001E-2</v>
      </c>
      <c r="L24" s="38"/>
      <c r="M24" s="236"/>
      <c r="N24" s="96"/>
      <c r="O24" s="98"/>
      <c r="P24" s="96"/>
      <c r="Q24" s="165" t="s">
        <v>86</v>
      </c>
      <c r="R24" s="160" t="s">
        <v>87</v>
      </c>
      <c r="S24" s="161"/>
      <c r="T24" s="162"/>
      <c r="U24" s="163"/>
      <c r="V24" s="185">
        <f>SUM(V16:V22)</f>
        <v>1.1613</v>
      </c>
      <c r="W24" s="134">
        <f>V24*C10/V59</f>
        <v>0.45029999999999998</v>
      </c>
    </row>
    <row r="25" spans="1:26" ht="12.75">
      <c r="A25" s="135"/>
      <c r="B25" s="102"/>
      <c r="C25" s="114"/>
      <c r="D25" s="102"/>
      <c r="E25" s="102"/>
      <c r="F25" s="102"/>
      <c r="G25" s="102"/>
      <c r="H25" s="136"/>
      <c r="I25" s="131"/>
      <c r="J25" s="137"/>
      <c r="K25" s="71"/>
      <c r="L25" s="38"/>
      <c r="M25" s="106"/>
      <c r="N25" s="102"/>
      <c r="O25" s="102"/>
      <c r="P25" s="102"/>
      <c r="Q25" s="237"/>
      <c r="R25" s="109"/>
      <c r="S25" s="109"/>
      <c r="T25" s="102"/>
      <c r="U25" s="111"/>
      <c r="V25" s="238"/>
      <c r="W25" s="57"/>
    </row>
    <row r="26" spans="1:26" ht="12.75">
      <c r="A26" s="135"/>
      <c r="B26" s="102"/>
      <c r="C26" s="114"/>
      <c r="D26" s="102"/>
      <c r="E26" s="102"/>
      <c r="F26" s="107" t="s">
        <v>88</v>
      </c>
      <c r="G26" s="107" t="s">
        <v>89</v>
      </c>
      <c r="H26" s="136"/>
      <c r="I26" s="131"/>
      <c r="J26" s="129">
        <f>SUM(J18:J24)</f>
        <v>1721.59</v>
      </c>
      <c r="K26" s="139"/>
      <c r="L26" s="38"/>
      <c r="M26" s="19"/>
      <c r="N26" s="18"/>
      <c r="O26" s="18"/>
      <c r="P26" s="18"/>
      <c r="Q26" s="18"/>
      <c r="R26" s="141"/>
      <c r="S26" s="141"/>
      <c r="T26" s="18"/>
      <c r="U26" s="18"/>
      <c r="V26" s="239"/>
      <c r="W26" s="57"/>
    </row>
    <row r="27" spans="1:26" ht="12.75">
      <c r="A27" s="128">
        <v>100</v>
      </c>
      <c r="B27" s="12" t="s">
        <v>21</v>
      </c>
      <c r="C27" s="114">
        <v>1</v>
      </c>
      <c r="D27" s="12" t="s">
        <v>56</v>
      </c>
      <c r="E27" s="107" t="s">
        <v>57</v>
      </c>
      <c r="F27" s="102"/>
      <c r="G27" s="12" t="s">
        <v>90</v>
      </c>
      <c r="H27" s="142">
        <f>(+A27/C27)/100</f>
        <v>1</v>
      </c>
      <c r="I27" s="114"/>
      <c r="J27" s="129">
        <f>J26*H27</f>
        <v>1721.59</v>
      </c>
      <c r="K27" s="143">
        <f>J27/V59</f>
        <v>0.33379999999999999</v>
      </c>
      <c r="L27" s="38"/>
      <c r="M27" s="106"/>
      <c r="N27" s="102"/>
      <c r="O27" s="102"/>
      <c r="P27" s="102"/>
      <c r="Q27" s="102"/>
      <c r="R27" s="67"/>
      <c r="S27" s="67"/>
      <c r="T27" s="102"/>
      <c r="U27" s="111"/>
      <c r="V27" s="240"/>
      <c r="W27" s="57"/>
    </row>
    <row r="28" spans="1:26" ht="12.75">
      <c r="A28" s="135"/>
      <c r="B28" s="102"/>
      <c r="C28" s="114"/>
      <c r="D28" s="102"/>
      <c r="E28" s="102"/>
      <c r="F28" s="102"/>
      <c r="G28" s="102"/>
      <c r="H28" s="142"/>
      <c r="I28" s="114"/>
      <c r="J28" s="129"/>
      <c r="K28" s="139"/>
      <c r="L28" s="38"/>
      <c r="M28" s="95"/>
      <c r="N28" s="96"/>
      <c r="O28" s="96"/>
      <c r="P28" s="96"/>
      <c r="Q28" s="96"/>
      <c r="R28" s="80"/>
      <c r="S28" s="80"/>
      <c r="T28" s="96"/>
      <c r="U28" s="241"/>
      <c r="V28" s="242"/>
      <c r="W28" s="57"/>
    </row>
    <row r="29" spans="1:26" ht="12.75">
      <c r="A29" s="135"/>
      <c r="B29" s="102"/>
      <c r="C29" s="114"/>
      <c r="D29" s="102"/>
      <c r="E29" s="121"/>
      <c r="F29" s="122"/>
      <c r="G29" s="122"/>
      <c r="H29" s="145"/>
      <c r="I29" s="146"/>
      <c r="J29" s="124"/>
      <c r="K29" s="125"/>
      <c r="L29" s="38"/>
      <c r="M29" s="144"/>
      <c r="N29" s="67"/>
      <c r="O29" s="67"/>
      <c r="P29" s="67"/>
      <c r="Q29" s="67"/>
      <c r="R29" s="67"/>
      <c r="S29" s="67"/>
      <c r="T29" s="67"/>
      <c r="U29" s="81"/>
      <c r="V29" s="81"/>
      <c r="W29" s="57"/>
    </row>
    <row r="30" spans="1:26" ht="12.75">
      <c r="A30" s="119">
        <v>2</v>
      </c>
      <c r="B30" s="120" t="s">
        <v>91</v>
      </c>
      <c r="C30" s="127">
        <f>C10</f>
        <v>2000</v>
      </c>
      <c r="D30" s="120" t="s">
        <v>92</v>
      </c>
      <c r="E30" s="147">
        <f>(+C30*H30)</f>
        <v>40</v>
      </c>
      <c r="F30" s="122" t="s">
        <v>93</v>
      </c>
      <c r="G30" s="148" t="s">
        <v>94</v>
      </c>
      <c r="H30" s="145">
        <f>(+A30/100)</f>
        <v>0.02</v>
      </c>
      <c r="I30" s="149">
        <f>V24</f>
        <v>1.1613</v>
      </c>
      <c r="J30" s="124">
        <f>E30*I30</f>
        <v>46.45</v>
      </c>
      <c r="K30" s="125">
        <f>J30/V$59</f>
        <v>8.9999999999999993E-3</v>
      </c>
      <c r="L30" s="38"/>
      <c r="M30" s="144"/>
      <c r="N30" s="67"/>
      <c r="O30" s="67"/>
      <c r="P30" s="67"/>
      <c r="Q30" s="67"/>
      <c r="R30" s="67"/>
      <c r="S30" s="67"/>
      <c r="T30" s="67"/>
      <c r="U30" s="81"/>
      <c r="V30" s="81"/>
      <c r="W30" s="57"/>
    </row>
    <row r="31" spans="1:26" ht="12.75">
      <c r="A31" s="128"/>
      <c r="B31" s="12"/>
      <c r="C31" s="114"/>
      <c r="D31" s="12"/>
      <c r="E31" s="112"/>
      <c r="F31" s="107"/>
      <c r="G31" s="107"/>
      <c r="H31" s="142"/>
      <c r="I31" s="121"/>
      <c r="J31" s="129"/>
      <c r="K31" s="125"/>
      <c r="L31" s="38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6" ht="12.75">
      <c r="A32" s="126"/>
      <c r="B32" s="102"/>
      <c r="C32" s="114"/>
      <c r="D32" s="102"/>
      <c r="E32" s="102"/>
      <c r="F32" s="122" t="s">
        <v>100</v>
      </c>
      <c r="G32" s="102" t="s">
        <v>299</v>
      </c>
      <c r="H32" s="136"/>
      <c r="I32" s="111"/>
      <c r="J32" s="129">
        <f>SUM(J27:J30)</f>
        <v>1768.04</v>
      </c>
      <c r="K32" s="125"/>
      <c r="L32" s="38"/>
      <c r="M32" s="243"/>
      <c r="N32" s="244"/>
      <c r="O32" s="244"/>
      <c r="P32" s="244"/>
      <c r="Q32" s="245"/>
      <c r="R32" s="244"/>
      <c r="S32" s="244"/>
      <c r="T32" s="244"/>
      <c r="U32" s="246"/>
      <c r="V32" s="244"/>
      <c r="W32" s="47"/>
    </row>
    <row r="33" spans="1:23" ht="20.25">
      <c r="A33" s="126"/>
      <c r="B33" s="102"/>
      <c r="C33" s="114"/>
      <c r="D33" s="102"/>
      <c r="E33" s="287"/>
      <c r="F33" s="122"/>
      <c r="G33" s="122"/>
      <c r="H33" s="286"/>
      <c r="I33" s="289"/>
      <c r="J33" s="288"/>
      <c r="K33" s="125"/>
      <c r="L33" s="38"/>
      <c r="M33" s="48" t="s">
        <v>95</v>
      </c>
      <c r="N33" s="49"/>
      <c r="O33" s="49"/>
      <c r="P33" s="49"/>
      <c r="Q33" s="49"/>
      <c r="R33" s="49"/>
      <c r="S33" s="49"/>
      <c r="T33" s="49"/>
      <c r="U33" s="49"/>
      <c r="V33" s="150"/>
      <c r="W33" s="47"/>
    </row>
    <row r="34" spans="1:23" ht="12.75">
      <c r="A34" s="353">
        <v>2.5</v>
      </c>
      <c r="B34" s="120" t="s">
        <v>155</v>
      </c>
      <c r="C34" s="114"/>
      <c r="D34" s="12"/>
      <c r="E34" s="287"/>
      <c r="F34" s="122" t="s">
        <v>303</v>
      </c>
      <c r="G34" s="168" t="s">
        <v>302</v>
      </c>
      <c r="H34" s="136">
        <f>A34/100</f>
        <v>2.5000000000000001E-2</v>
      </c>
      <c r="I34" s="188">
        <f>J32</f>
        <v>1768.04</v>
      </c>
      <c r="J34" s="124">
        <f>H34*I34</f>
        <v>44.2</v>
      </c>
      <c r="K34" s="125"/>
      <c r="L34" s="38"/>
      <c r="M34" s="151"/>
      <c r="N34" s="152"/>
      <c r="O34" s="152"/>
      <c r="P34" s="152"/>
      <c r="Q34" s="152"/>
      <c r="R34" s="152"/>
      <c r="S34" s="152"/>
      <c r="T34" s="152"/>
      <c r="U34" s="152"/>
      <c r="V34" s="152"/>
      <c r="W34" s="47"/>
    </row>
    <row r="35" spans="1:23" ht="12.75">
      <c r="A35" s="128"/>
      <c r="B35" s="12"/>
      <c r="C35" s="114"/>
      <c r="D35" s="12"/>
      <c r="E35" s="112"/>
      <c r="F35" s="107"/>
      <c r="G35" s="107"/>
      <c r="H35" s="142"/>
      <c r="I35" s="121"/>
      <c r="J35" s="129"/>
      <c r="K35" s="125"/>
      <c r="L35" s="38"/>
      <c r="M35" s="138"/>
      <c r="N35" s="60"/>
      <c r="O35" s="87"/>
      <c r="P35" s="87"/>
      <c r="Q35" s="87"/>
      <c r="R35" s="90"/>
      <c r="S35" s="88"/>
      <c r="T35" s="87"/>
      <c r="U35" s="89" t="s">
        <v>33</v>
      </c>
      <c r="V35" s="153"/>
      <c r="W35" s="47"/>
    </row>
    <row r="36" spans="1:23" ht="12.75">
      <c r="A36" s="55"/>
      <c r="B36" s="154"/>
      <c r="C36" s="154"/>
      <c r="D36" s="154"/>
      <c r="E36" s="154"/>
      <c r="F36" s="154"/>
      <c r="G36" s="154"/>
      <c r="H36" s="155"/>
      <c r="I36" s="156"/>
      <c r="J36" s="156"/>
      <c r="K36" s="47"/>
      <c r="L36" s="38"/>
      <c r="M36" s="144"/>
      <c r="N36" s="67"/>
      <c r="O36" s="12" t="s">
        <v>44</v>
      </c>
      <c r="P36" s="12" t="s">
        <v>36</v>
      </c>
      <c r="Q36" s="12" t="s">
        <v>38</v>
      </c>
      <c r="R36" s="657" t="s">
        <v>96</v>
      </c>
      <c r="S36" s="658"/>
      <c r="T36" s="12" t="s">
        <v>40</v>
      </c>
      <c r="U36" s="12" t="s">
        <v>41</v>
      </c>
      <c r="V36" s="129" t="s">
        <v>97</v>
      </c>
      <c r="W36" s="157"/>
    </row>
    <row r="37" spans="1:23" ht="12.75">
      <c r="A37" s="119"/>
      <c r="B37" s="120"/>
      <c r="C37" s="127"/>
      <c r="D37" s="120"/>
      <c r="E37" s="158"/>
      <c r="F37" s="122"/>
      <c r="G37" s="148"/>
      <c r="H37" s="145"/>
      <c r="I37" s="149"/>
      <c r="J37" s="124"/>
      <c r="K37" s="125"/>
      <c r="L37" s="38"/>
      <c r="M37" s="151"/>
      <c r="N37" s="152"/>
      <c r="O37" s="104"/>
      <c r="P37" s="104"/>
      <c r="Q37" s="104"/>
      <c r="R37" s="105"/>
      <c r="S37" s="159"/>
      <c r="T37" s="104"/>
      <c r="U37" s="98" t="s">
        <v>43</v>
      </c>
      <c r="V37" s="105"/>
      <c r="W37" s="57"/>
    </row>
    <row r="38" spans="1:23" ht="12.75">
      <c r="A38" s="106"/>
      <c r="B38" s="102"/>
      <c r="C38" s="131"/>
      <c r="D38" s="102"/>
      <c r="E38" s="102"/>
      <c r="F38" s="102"/>
      <c r="G38" s="102"/>
      <c r="H38" s="102"/>
      <c r="I38" s="131"/>
      <c r="J38" s="137"/>
      <c r="K38" s="125"/>
      <c r="L38" s="38"/>
      <c r="M38" s="144"/>
      <c r="N38" s="67"/>
      <c r="O38" s="102"/>
      <c r="P38" s="87"/>
      <c r="Q38" s="108" t="s">
        <v>98</v>
      </c>
      <c r="R38" s="160" t="s">
        <v>99</v>
      </c>
      <c r="S38" s="161"/>
      <c r="T38" s="162"/>
      <c r="U38" s="163"/>
      <c r="V38" s="24" t="s">
        <v>42</v>
      </c>
      <c r="W38" s="164"/>
    </row>
    <row r="39" spans="1:23" ht="12.75">
      <c r="A39" s="95"/>
      <c r="B39" s="96"/>
      <c r="C39" s="98"/>
      <c r="D39" s="96"/>
      <c r="E39" s="96"/>
      <c r="F39" s="165" t="s">
        <v>160</v>
      </c>
      <c r="G39" s="160" t="s">
        <v>304</v>
      </c>
      <c r="H39" s="166"/>
      <c r="I39" s="166"/>
      <c r="J39" s="167">
        <f>SUM(J32:J34)</f>
        <v>1812.24</v>
      </c>
      <c r="K39" s="143">
        <f>J39/V59</f>
        <v>0.35139999999999999</v>
      </c>
      <c r="L39" s="38"/>
      <c r="M39" s="144"/>
      <c r="N39" s="67"/>
      <c r="O39" s="102"/>
      <c r="P39" s="102"/>
      <c r="Q39" s="108" t="s">
        <v>101</v>
      </c>
      <c r="R39" s="168" t="s">
        <v>102</v>
      </c>
      <c r="S39" s="169"/>
      <c r="T39" s="131"/>
      <c r="U39" s="118">
        <f>V24</f>
        <v>1.1613</v>
      </c>
      <c r="V39" s="115">
        <f>$V$24</f>
        <v>1.1613</v>
      </c>
      <c r="W39" s="57"/>
    </row>
    <row r="40" spans="1:23" ht="12.75">
      <c r="A40" s="144"/>
      <c r="B40" s="67"/>
      <c r="C40" s="67"/>
      <c r="D40" s="67"/>
      <c r="E40" s="67"/>
      <c r="F40" s="108"/>
      <c r="G40" s="108"/>
      <c r="H40" s="108"/>
      <c r="I40" s="108"/>
      <c r="J40" s="81"/>
      <c r="K40" s="170"/>
      <c r="L40" s="38"/>
      <c r="M40" s="144"/>
      <c r="N40" s="67"/>
      <c r="O40" s="114"/>
      <c r="P40" s="12"/>
      <c r="Q40" s="108"/>
      <c r="R40" s="168"/>
      <c r="S40" s="169"/>
      <c r="T40" s="113"/>
      <c r="U40" s="131"/>
      <c r="V40" s="115"/>
      <c r="W40" s="116"/>
    </row>
    <row r="41" spans="1:23" ht="20.25">
      <c r="A41" s="171" t="s">
        <v>104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39"/>
      <c r="L41" s="38"/>
      <c r="M41" s="144"/>
      <c r="N41" s="67"/>
      <c r="O41" s="114">
        <f>C48</f>
        <v>5.5</v>
      </c>
      <c r="P41" s="12" t="s">
        <v>21</v>
      </c>
      <c r="Q41" s="108" t="s">
        <v>103</v>
      </c>
      <c r="R41" s="168" t="s">
        <v>106</v>
      </c>
      <c r="S41" s="169"/>
      <c r="T41" s="113">
        <f>(+O41/100)</f>
        <v>5.5E-2</v>
      </c>
      <c r="U41" s="131"/>
      <c r="V41" s="115">
        <f>(+V39*T41)</f>
        <v>6.3899999999999998E-2</v>
      </c>
      <c r="W41" s="116">
        <f>V41*C10/V59</f>
        <v>2.4799999999999999E-2</v>
      </c>
    </row>
    <row r="42" spans="1:23" ht="20.25">
      <c r="A42" s="144"/>
      <c r="B42" s="67"/>
      <c r="C42" s="67"/>
      <c r="D42" s="67"/>
      <c r="E42" s="67"/>
      <c r="F42" s="67"/>
      <c r="G42" s="109"/>
      <c r="H42" s="67"/>
      <c r="I42" s="67"/>
      <c r="J42" s="67"/>
      <c r="K42" s="51"/>
      <c r="L42" s="38"/>
      <c r="M42" s="144"/>
      <c r="N42" s="67"/>
      <c r="O42" s="114" t="s">
        <v>107</v>
      </c>
      <c r="P42" s="102"/>
      <c r="Q42" s="108" t="s">
        <v>105</v>
      </c>
      <c r="R42" s="168" t="s">
        <v>283</v>
      </c>
      <c r="S42" s="169"/>
      <c r="T42" s="131"/>
      <c r="U42" s="131"/>
      <c r="V42" s="115">
        <f>SUM(V39:V41)</f>
        <v>1.2252000000000001</v>
      </c>
      <c r="W42" s="116"/>
    </row>
    <row r="43" spans="1:23" ht="12.75">
      <c r="A43" s="138"/>
      <c r="B43" s="88"/>
      <c r="C43" s="87"/>
      <c r="D43" s="87"/>
      <c r="E43" s="87"/>
      <c r="F43" s="173"/>
      <c r="G43" s="133"/>
      <c r="H43" s="15"/>
      <c r="I43" s="89" t="s">
        <v>33</v>
      </c>
      <c r="J43" s="90"/>
      <c r="K43" s="71"/>
      <c r="L43" s="38"/>
      <c r="M43" s="144"/>
      <c r="N43" s="67"/>
      <c r="O43" s="114">
        <f>C51</f>
        <v>0</v>
      </c>
      <c r="P43" s="12" t="s">
        <v>21</v>
      </c>
      <c r="Q43" s="108" t="s">
        <v>108</v>
      </c>
      <c r="R43" s="168" t="s">
        <v>110</v>
      </c>
      <c r="S43" s="169"/>
      <c r="T43" s="113">
        <f>(+O43/100)</f>
        <v>0</v>
      </c>
      <c r="U43" s="174">
        <f>V42</f>
        <v>1.2252000000000001</v>
      </c>
      <c r="V43" s="115">
        <f>(+V42*T43)</f>
        <v>0</v>
      </c>
      <c r="W43" s="116">
        <f>V43*C10/V59</f>
        <v>0</v>
      </c>
    </row>
    <row r="44" spans="1:23" ht="12.75">
      <c r="A44" s="144"/>
      <c r="B44" s="175"/>
      <c r="C44" s="12" t="s">
        <v>44</v>
      </c>
      <c r="D44" s="12" t="s">
        <v>36</v>
      </c>
      <c r="E44" s="12" t="s">
        <v>38</v>
      </c>
      <c r="F44" s="657" t="s">
        <v>39</v>
      </c>
      <c r="G44" s="658"/>
      <c r="H44" s="12" t="s">
        <v>40</v>
      </c>
      <c r="I44" s="12" t="s">
        <v>41</v>
      </c>
      <c r="J44" s="92" t="s">
        <v>42</v>
      </c>
      <c r="K44" s="71"/>
      <c r="L44" s="38"/>
      <c r="M44" s="144"/>
      <c r="N44" s="67"/>
      <c r="O44" s="114" t="s">
        <v>107</v>
      </c>
      <c r="P44" s="102"/>
      <c r="Q44" s="108" t="s">
        <v>109</v>
      </c>
      <c r="R44" s="168" t="s">
        <v>284</v>
      </c>
      <c r="S44" s="169"/>
      <c r="T44" s="131"/>
      <c r="U44" s="131"/>
      <c r="V44" s="115">
        <f>SUM(V42:V43)</f>
        <v>1.2252000000000001</v>
      </c>
      <c r="W44" s="116"/>
    </row>
    <row r="45" spans="1:23" ht="12.75">
      <c r="A45" s="144"/>
      <c r="B45" s="175"/>
      <c r="C45" s="96"/>
      <c r="D45" s="96"/>
      <c r="E45" s="96"/>
      <c r="F45" s="99"/>
      <c r="G45" s="80"/>
      <c r="H45" s="104"/>
      <c r="I45" s="98" t="s">
        <v>43</v>
      </c>
      <c r="J45" s="99"/>
      <c r="K45" s="176"/>
      <c r="L45" s="38"/>
      <c r="M45" s="144"/>
      <c r="N45" s="67"/>
      <c r="O45" s="114">
        <f>C54</f>
        <v>9</v>
      </c>
      <c r="P45" s="12" t="s">
        <v>21</v>
      </c>
      <c r="Q45" s="108" t="s">
        <v>111</v>
      </c>
      <c r="R45" s="168" t="s">
        <v>113</v>
      </c>
      <c r="S45" s="169"/>
      <c r="T45" s="113">
        <f>(+O45/100)</f>
        <v>0.09</v>
      </c>
      <c r="U45" s="174">
        <f>V44</f>
        <v>1.2252000000000001</v>
      </c>
      <c r="V45" s="115">
        <f>(+V44*T45)</f>
        <v>0.1103</v>
      </c>
      <c r="W45" s="116">
        <f>V45*C10/V59</f>
        <v>4.2799999999999998E-2</v>
      </c>
    </row>
    <row r="46" spans="1:23" ht="12.75">
      <c r="A46" s="144"/>
      <c r="B46" s="175"/>
      <c r="C46" s="102"/>
      <c r="D46" s="102"/>
      <c r="E46" s="107" t="s">
        <v>114</v>
      </c>
      <c r="F46" s="132" t="s">
        <v>140</v>
      </c>
      <c r="G46" s="60"/>
      <c r="H46" s="177"/>
      <c r="I46" s="114">
        <f>J39</f>
        <v>1812.24</v>
      </c>
      <c r="J46" s="178">
        <f>J39</f>
        <v>1812.24</v>
      </c>
      <c r="K46" s="71"/>
      <c r="L46" s="38"/>
      <c r="M46" s="144"/>
      <c r="N46" s="67"/>
      <c r="O46" s="114" t="s">
        <v>107</v>
      </c>
      <c r="P46" s="102"/>
      <c r="Q46" s="108" t="s">
        <v>112</v>
      </c>
      <c r="R46" s="168" t="s">
        <v>285</v>
      </c>
      <c r="S46" s="169"/>
      <c r="T46" s="131"/>
      <c r="U46" s="131"/>
      <c r="V46" s="115">
        <f>SUM(V44:V45)</f>
        <v>1.3354999999999999</v>
      </c>
      <c r="W46" s="116"/>
    </row>
    <row r="47" spans="1:23" ht="12.75">
      <c r="A47" s="144"/>
      <c r="B47" s="175"/>
      <c r="C47" s="343"/>
      <c r="D47" s="12"/>
      <c r="E47" s="107"/>
      <c r="F47" s="168"/>
      <c r="G47" s="169"/>
      <c r="H47" s="113"/>
      <c r="I47" s="131"/>
      <c r="J47" s="129"/>
      <c r="K47" s="125"/>
      <c r="L47" s="38"/>
      <c r="M47" s="144"/>
      <c r="N47" s="67"/>
      <c r="O47" s="114">
        <f>C57</f>
        <v>7.81</v>
      </c>
      <c r="P47" s="12" t="s">
        <v>21</v>
      </c>
      <c r="Q47" s="108" t="s">
        <v>118</v>
      </c>
      <c r="R47" s="168" t="s">
        <v>119</v>
      </c>
      <c r="S47" s="169"/>
      <c r="T47" s="113">
        <f>(+O47/100)</f>
        <v>7.8100000000000003E-2</v>
      </c>
      <c r="U47" s="131"/>
      <c r="V47" s="115">
        <f>(+V49*T47)</f>
        <v>0.11310000000000001</v>
      </c>
      <c r="W47" s="116">
        <f>V47*C10/V59</f>
        <v>4.3900000000000002E-2</v>
      </c>
    </row>
    <row r="48" spans="1:23" ht="12.75">
      <c r="A48" s="144"/>
      <c r="B48" s="175"/>
      <c r="C48" s="179">
        <v>5.5</v>
      </c>
      <c r="D48" s="12" t="s">
        <v>21</v>
      </c>
      <c r="E48" s="107" t="s">
        <v>117</v>
      </c>
      <c r="F48" s="168" t="s">
        <v>106</v>
      </c>
      <c r="G48" s="169"/>
      <c r="H48" s="113">
        <f>(C48/100)</f>
        <v>5.5E-2</v>
      </c>
      <c r="I48" s="131"/>
      <c r="J48" s="129">
        <f>(+J46*H48)</f>
        <v>99.67</v>
      </c>
      <c r="K48" s="125">
        <f>J48/V59</f>
        <v>1.9300000000000001E-2</v>
      </c>
      <c r="L48" s="38"/>
      <c r="M48" s="144"/>
      <c r="N48" s="67"/>
      <c r="O48" s="114" t="s">
        <v>107</v>
      </c>
      <c r="P48" s="102"/>
      <c r="Q48" s="67"/>
      <c r="R48" s="110"/>
      <c r="S48" s="175"/>
      <c r="T48" s="131"/>
      <c r="U48" s="131"/>
      <c r="V48" s="115"/>
      <c r="W48" s="100"/>
    </row>
    <row r="49" spans="1:25" ht="12.75">
      <c r="A49" s="144"/>
      <c r="B49" s="175"/>
      <c r="C49" s="114" t="s">
        <v>107</v>
      </c>
      <c r="D49" s="102"/>
      <c r="E49" s="102"/>
      <c r="F49" s="110"/>
      <c r="G49" s="67"/>
      <c r="H49" s="113"/>
      <c r="I49" s="114"/>
      <c r="J49" s="129"/>
      <c r="K49" s="180"/>
      <c r="L49" s="38"/>
      <c r="M49" s="181"/>
      <c r="N49" s="80"/>
      <c r="O49" s="182" t="s">
        <v>107</v>
      </c>
      <c r="P49" s="96"/>
      <c r="Q49" s="183" t="s">
        <v>116</v>
      </c>
      <c r="R49" s="160" t="s">
        <v>286</v>
      </c>
      <c r="S49" s="163"/>
      <c r="T49" s="184"/>
      <c r="U49" s="162"/>
      <c r="V49" s="185">
        <f>V46/(1-T47)</f>
        <v>1.4486000000000001</v>
      </c>
      <c r="W49" s="186">
        <f>V49*C10/V59</f>
        <v>0.56169999999999998</v>
      </c>
      <c r="Y49" s="130"/>
    </row>
    <row r="50" spans="1:25" ht="12.75">
      <c r="A50" s="144"/>
      <c r="B50" s="175"/>
      <c r="C50" s="187"/>
      <c r="D50" s="102"/>
      <c r="E50" s="107" t="s">
        <v>120</v>
      </c>
      <c r="F50" s="168" t="s">
        <v>289</v>
      </c>
      <c r="G50" s="67"/>
      <c r="H50" s="113"/>
      <c r="I50" s="131"/>
      <c r="J50" s="129">
        <f>SUM(J46:J48)</f>
        <v>1911.91</v>
      </c>
      <c r="K50" s="125"/>
      <c r="L50" s="38"/>
      <c r="M50" s="140"/>
      <c r="N50" s="141"/>
      <c r="O50" s="141"/>
      <c r="P50" s="141"/>
      <c r="Q50" s="141"/>
      <c r="R50" s="141"/>
      <c r="S50" s="141"/>
      <c r="T50" s="141"/>
      <c r="U50" s="141"/>
      <c r="V50" s="141"/>
      <c r="W50" s="57"/>
    </row>
    <row r="51" spans="1:25" ht="12.75">
      <c r="A51" s="144"/>
      <c r="B51" s="175"/>
      <c r="C51" s="114">
        <v>0</v>
      </c>
      <c r="D51" s="12" t="s">
        <v>21</v>
      </c>
      <c r="E51" s="107" t="s">
        <v>121</v>
      </c>
      <c r="F51" s="168" t="s">
        <v>110</v>
      </c>
      <c r="G51" s="169"/>
      <c r="H51" s="113">
        <f>(C51/100)</f>
        <v>0</v>
      </c>
      <c r="I51" s="188">
        <f>J50</f>
        <v>1911.91</v>
      </c>
      <c r="J51" s="129">
        <f>(+J50*H51)</f>
        <v>0</v>
      </c>
      <c r="K51" s="125">
        <f>J51/V59</f>
        <v>0</v>
      </c>
      <c r="L51" s="38"/>
      <c r="M51" s="144"/>
      <c r="N51" s="67"/>
      <c r="O51" s="67"/>
      <c r="P51" s="67"/>
      <c r="Q51" s="67"/>
      <c r="R51" s="67"/>
      <c r="S51" s="67"/>
      <c r="T51" s="67"/>
      <c r="U51" s="67"/>
      <c r="V51" s="67"/>
      <c r="W51" s="57"/>
    </row>
    <row r="52" spans="1:25" ht="13.5" thickBot="1">
      <c r="A52" s="144"/>
      <c r="B52" s="175"/>
      <c r="C52" s="114" t="s">
        <v>107</v>
      </c>
      <c r="D52" s="102"/>
      <c r="E52" s="102"/>
      <c r="F52" s="110"/>
      <c r="G52" s="67"/>
      <c r="H52" s="113"/>
      <c r="I52" s="114"/>
      <c r="J52" s="129"/>
      <c r="K52" s="180"/>
      <c r="L52" s="38"/>
      <c r="M52" s="144"/>
      <c r="N52" s="67"/>
      <c r="O52" s="67"/>
      <c r="P52" s="67"/>
      <c r="Q52" s="67"/>
      <c r="R52" s="67"/>
      <c r="S52" s="67"/>
      <c r="T52" s="67"/>
      <c r="U52" s="67"/>
      <c r="V52" s="67"/>
      <c r="W52" s="57"/>
    </row>
    <row r="53" spans="1:25" ht="20.25">
      <c r="A53" s="144"/>
      <c r="B53" s="175"/>
      <c r="C53" s="114" t="s">
        <v>107</v>
      </c>
      <c r="D53" s="102"/>
      <c r="E53" s="107" t="s">
        <v>122</v>
      </c>
      <c r="F53" s="168" t="s">
        <v>290</v>
      </c>
      <c r="G53" s="67"/>
      <c r="H53" s="113"/>
      <c r="I53" s="131"/>
      <c r="J53" s="129">
        <f>SUM(J50:J51)</f>
        <v>1911.91</v>
      </c>
      <c r="K53" s="180"/>
      <c r="L53" s="38"/>
      <c r="M53" s="144"/>
      <c r="N53" s="67"/>
      <c r="O53" s="67"/>
      <c r="P53" s="67"/>
      <c r="Q53" s="189" t="s">
        <v>124</v>
      </c>
      <c r="R53" s="190"/>
      <c r="S53" s="190"/>
      <c r="T53" s="190"/>
      <c r="U53" s="190"/>
      <c r="V53" s="190"/>
      <c r="W53" s="57"/>
    </row>
    <row r="54" spans="1:25" ht="13.5" thickBot="1">
      <c r="A54" s="144"/>
      <c r="B54" s="175"/>
      <c r="C54" s="179">
        <v>9</v>
      </c>
      <c r="D54" s="12" t="s">
        <v>21</v>
      </c>
      <c r="E54" s="107" t="s">
        <v>123</v>
      </c>
      <c r="F54" s="168" t="s">
        <v>292</v>
      </c>
      <c r="G54" s="169"/>
      <c r="H54" s="113">
        <f>(C54/100)</f>
        <v>0.09</v>
      </c>
      <c r="I54" s="188">
        <f>J53</f>
        <v>1911.91</v>
      </c>
      <c r="J54" s="129">
        <f>(+J53*H54)</f>
        <v>172.07</v>
      </c>
      <c r="K54" s="125">
        <f>J54/V59</f>
        <v>3.3399999999999999E-2</v>
      </c>
      <c r="L54" s="38"/>
      <c r="M54" s="144"/>
      <c r="N54" s="67"/>
      <c r="O54" s="345"/>
      <c r="P54" s="67"/>
      <c r="Q54" s="191"/>
      <c r="R54" s="192"/>
      <c r="S54" s="192"/>
      <c r="T54" s="192"/>
      <c r="U54" s="192"/>
      <c r="V54" s="192"/>
      <c r="W54" s="57"/>
    </row>
    <row r="55" spans="1:25" ht="13.5" thickBot="1">
      <c r="A55" s="144"/>
      <c r="B55" s="175"/>
      <c r="C55" s="114" t="s">
        <v>107</v>
      </c>
      <c r="D55" s="102"/>
      <c r="E55" s="102"/>
      <c r="F55" s="110"/>
      <c r="G55" s="67"/>
      <c r="H55" s="113"/>
      <c r="I55" s="131"/>
      <c r="J55" s="129"/>
      <c r="K55" s="180"/>
      <c r="L55" s="38"/>
      <c r="M55" s="144"/>
      <c r="N55" s="67"/>
      <c r="O55" s="67"/>
      <c r="P55" s="67"/>
      <c r="Q55" s="346" t="s">
        <v>287</v>
      </c>
      <c r="R55" s="193" t="s">
        <v>294</v>
      </c>
      <c r="S55" s="194"/>
      <c r="T55" s="194"/>
      <c r="U55" s="194"/>
      <c r="V55" s="195">
        <f>C10*V49</f>
        <v>2897.2</v>
      </c>
      <c r="W55" s="196">
        <f>V55/V59</f>
        <v>0.56169999999999998</v>
      </c>
    </row>
    <row r="56" spans="1:25" ht="13.5" thickBot="1">
      <c r="A56" s="144"/>
      <c r="B56" s="175"/>
      <c r="C56" s="114" t="s">
        <v>107</v>
      </c>
      <c r="D56" s="102"/>
      <c r="E56" s="107" t="s">
        <v>125</v>
      </c>
      <c r="F56" s="168" t="s">
        <v>128</v>
      </c>
      <c r="G56" s="67"/>
      <c r="H56" s="113"/>
      <c r="I56" s="131"/>
      <c r="J56" s="129">
        <f>SUM(J53:J54)</f>
        <v>2083.98</v>
      </c>
      <c r="K56" s="180"/>
      <c r="L56" s="38"/>
      <c r="M56" s="144"/>
      <c r="N56" s="67"/>
      <c r="O56" s="67"/>
      <c r="P56" s="67"/>
      <c r="Q56" s="347" t="s">
        <v>126</v>
      </c>
      <c r="R56" s="108" t="s">
        <v>130</v>
      </c>
      <c r="S56" s="67"/>
      <c r="T56" s="67"/>
      <c r="U56" s="108"/>
      <c r="V56" s="81">
        <f>J59</f>
        <v>2260.5300000000002</v>
      </c>
      <c r="W56" s="196">
        <f>V56/V59</f>
        <v>0.43830000000000002</v>
      </c>
    </row>
    <row r="57" spans="1:25" ht="12.75">
      <c r="A57" s="144"/>
      <c r="B57" s="175"/>
      <c r="C57" s="197">
        <f>(15%*C54)+(9%*C54)+3.65+2</f>
        <v>7.81</v>
      </c>
      <c r="D57" s="12" t="s">
        <v>21</v>
      </c>
      <c r="E57" s="107" t="s">
        <v>131</v>
      </c>
      <c r="F57" s="168" t="s">
        <v>119</v>
      </c>
      <c r="G57" s="169"/>
      <c r="H57" s="113">
        <f>(C57/100)</f>
        <v>7.8100000000000003E-2</v>
      </c>
      <c r="I57" s="131"/>
      <c r="J57" s="129">
        <f>(+J59*H57)</f>
        <v>176.55</v>
      </c>
      <c r="K57" s="125">
        <f>J57/V59</f>
        <v>3.4200000000000001E-2</v>
      </c>
      <c r="L57" s="38"/>
      <c r="M57" s="144"/>
      <c r="N57" s="67"/>
      <c r="O57" s="67"/>
      <c r="P57" s="67"/>
      <c r="Q57" s="198"/>
      <c r="R57" s="199"/>
      <c r="S57" s="84"/>
      <c r="T57" s="84"/>
      <c r="U57" s="199"/>
      <c r="V57" s="200"/>
      <c r="W57" s="57"/>
    </row>
    <row r="58" spans="1:25" ht="13.5" thickBot="1">
      <c r="A58" s="144"/>
      <c r="B58" s="175"/>
      <c r="C58" s="114" t="s">
        <v>107</v>
      </c>
      <c r="D58" s="102"/>
      <c r="E58" s="102"/>
      <c r="F58" s="110"/>
      <c r="G58" s="67"/>
      <c r="H58" s="131"/>
      <c r="I58" s="131"/>
      <c r="J58" s="129"/>
      <c r="K58" s="180"/>
      <c r="L58" s="38"/>
      <c r="M58" s="144"/>
      <c r="N58" s="67"/>
      <c r="O58" s="67"/>
      <c r="P58" s="67"/>
      <c r="Q58" s="144"/>
      <c r="R58" s="67"/>
      <c r="S58" s="67"/>
      <c r="T58" s="67"/>
      <c r="U58" s="67"/>
      <c r="V58" s="109"/>
      <c r="W58" s="201"/>
    </row>
    <row r="59" spans="1:25" ht="13.5" thickBot="1">
      <c r="A59" s="202"/>
      <c r="B59" s="203"/>
      <c r="C59" s="204" t="s">
        <v>107</v>
      </c>
      <c r="D59" s="205"/>
      <c r="E59" s="206" t="s">
        <v>127</v>
      </c>
      <c r="F59" s="207" t="s">
        <v>291</v>
      </c>
      <c r="G59" s="208"/>
      <c r="H59" s="208"/>
      <c r="I59" s="208"/>
      <c r="J59" s="209">
        <f>J56/(1-H57)</f>
        <v>2260.5300000000002</v>
      </c>
      <c r="K59" s="210">
        <f>J59/V59</f>
        <v>0.43830000000000002</v>
      </c>
      <c r="L59" s="38"/>
      <c r="M59" s="202"/>
      <c r="N59" s="211"/>
      <c r="O59" s="211"/>
      <c r="P59" s="211"/>
      <c r="Q59" s="247" t="s">
        <v>129</v>
      </c>
      <c r="R59" s="248" t="s">
        <v>296</v>
      </c>
      <c r="S59" s="249"/>
      <c r="T59" s="249"/>
      <c r="U59" s="248"/>
      <c r="V59" s="250">
        <f>V55+J59</f>
        <v>5157.7299999999996</v>
      </c>
      <c r="W59" s="216">
        <f>SUM(W55:W58)</f>
        <v>1</v>
      </c>
    </row>
    <row r="60" spans="1:25" ht="24" customHeight="1" thickBot="1">
      <c r="M60" s="251" t="s">
        <v>134</v>
      </c>
      <c r="N60" s="252" t="s">
        <v>297</v>
      </c>
      <c r="O60" s="253"/>
      <c r="P60" s="253"/>
      <c r="Q60" s="254"/>
      <c r="R60" s="255"/>
      <c r="S60" s="255"/>
      <c r="T60" s="255"/>
      <c r="U60" s="256"/>
      <c r="V60" s="257">
        <f>V59*2</f>
        <v>10315.459999999999</v>
      </c>
    </row>
    <row r="61" spans="1:25" ht="15.75">
      <c r="A61" s="30" t="s">
        <v>135</v>
      </c>
    </row>
    <row r="63" spans="1:25" ht="15.75">
      <c r="A63" s="30" t="str">
        <f>'Ônibus Equipe Capina'!A71</f>
        <v>Patos de Minas-MG, 01 de novembro de 2016</v>
      </c>
      <c r="G63" s="13"/>
      <c r="M63" s="11"/>
      <c r="S63" s="13"/>
    </row>
    <row r="64" spans="1:25" ht="15">
      <c r="G64" s="11"/>
      <c r="H64" s="11"/>
      <c r="I64" s="11"/>
      <c r="S64" s="11"/>
    </row>
    <row r="65" spans="1:19" ht="15.75" thickBot="1">
      <c r="E65" s="694"/>
      <c r="F65" s="694"/>
      <c r="G65" s="694"/>
      <c r="H65" s="694"/>
      <c r="I65" s="11"/>
      <c r="S65" s="11"/>
    </row>
    <row r="66" spans="1:19" ht="12.75" thickTop="1">
      <c r="E66" s="1" t="s">
        <v>346</v>
      </c>
    </row>
    <row r="67" spans="1:19">
      <c r="A67" s="217"/>
      <c r="B67" s="217"/>
      <c r="C67" s="217"/>
      <c r="D67" s="217"/>
      <c r="E67" s="1" t="s">
        <v>347</v>
      </c>
      <c r="I67" s="217"/>
      <c r="J67" s="217"/>
    </row>
    <row r="91" ht="2.25" customHeight="1"/>
    <row r="92" ht="12.75" customHeight="1"/>
    <row r="93" ht="0.75" customHeight="1"/>
    <row r="118" spans="1:15" ht="12.75">
      <c r="L118" s="218"/>
      <c r="M118" s="219"/>
      <c r="N118" s="218"/>
      <c r="O118" s="219"/>
    </row>
    <row r="119" spans="1:15" ht="12.75">
      <c r="L119" s="218"/>
      <c r="M119" s="218"/>
      <c r="N119" s="218"/>
      <c r="O119" s="220"/>
    </row>
    <row r="120" spans="1:15" ht="12.75">
      <c r="L120" s="218"/>
      <c r="M120" s="218"/>
      <c r="N120" s="218"/>
      <c r="O120" s="220"/>
    </row>
    <row r="121" spans="1:15" ht="12.75">
      <c r="L121" s="218"/>
      <c r="M121" s="218"/>
      <c r="N121" s="218"/>
      <c r="O121" s="220"/>
    </row>
    <row r="122" spans="1:15" ht="12.75">
      <c r="L122" s="2"/>
      <c r="M122" s="2"/>
      <c r="N122" s="2"/>
      <c r="O122" s="221"/>
    </row>
    <row r="123" spans="1:15" ht="12.75">
      <c r="A123" s="218"/>
      <c r="B123" s="218"/>
      <c r="C123" s="218"/>
      <c r="D123" s="218"/>
      <c r="E123" s="222"/>
      <c r="F123" s="222"/>
      <c r="G123" s="222"/>
      <c r="H123" s="222"/>
      <c r="I123" s="222"/>
      <c r="J123" s="222"/>
      <c r="K123" s="222"/>
    </row>
    <row r="124" spans="1:15" ht="12.75">
      <c r="A124" s="218"/>
      <c r="B124" s="218"/>
      <c r="C124" s="218"/>
      <c r="D124" s="218"/>
      <c r="E124" s="218"/>
      <c r="F124" s="218"/>
      <c r="G124" s="218"/>
      <c r="H124" s="218"/>
      <c r="I124" s="218"/>
      <c r="J124" s="223"/>
      <c r="K124" s="223"/>
      <c r="L124" s="130"/>
    </row>
    <row r="125" spans="1:15" ht="12.75">
      <c r="A125" s="218"/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</row>
    <row r="126" spans="1:15" ht="12.75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</row>
    <row r="127" spans="1:15" ht="12.75">
      <c r="A127" s="218"/>
      <c r="B127" s="218"/>
      <c r="C127" s="218"/>
      <c r="D127" s="218"/>
      <c r="E127" s="218"/>
      <c r="F127" s="218"/>
      <c r="G127" s="218"/>
      <c r="H127" s="218"/>
      <c r="I127" s="218"/>
      <c r="J127" s="218"/>
      <c r="K127" s="218"/>
    </row>
    <row r="128" spans="1:15" ht="12.75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</row>
    <row r="129" spans="1:12" ht="12.75">
      <c r="A129" s="2"/>
      <c r="B129" s="2"/>
      <c r="C129" s="2"/>
      <c r="D129" s="2"/>
      <c r="E129" s="224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25"/>
      <c r="F130" s="225"/>
      <c r="G130" s="225"/>
      <c r="H130" s="225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21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21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6"/>
      <c r="C141" s="4"/>
      <c r="D141" s="226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"/>
    </row>
    <row r="145" spans="1:12">
      <c r="A145" s="4"/>
      <c r="B145" s="4"/>
      <c r="C145" s="6"/>
      <c r="D145" s="4"/>
      <c r="E145" s="4"/>
      <c r="F145" s="4"/>
      <c r="G145" s="227"/>
      <c r="H145" s="227"/>
      <c r="L145" s="4"/>
    </row>
    <row r="146" spans="1:12">
      <c r="A146" s="7"/>
      <c r="B146" s="7"/>
      <c r="C146" s="7"/>
      <c r="D146" s="7"/>
      <c r="E146" s="7"/>
      <c r="F146" s="7"/>
      <c r="G146" s="7"/>
      <c r="H146" s="7"/>
      <c r="L146" s="4"/>
    </row>
    <row r="147" spans="1:12">
      <c r="A147" s="4"/>
      <c r="B147" s="4"/>
      <c r="C147" s="4"/>
      <c r="D147" s="4"/>
      <c r="E147" s="4"/>
      <c r="F147" s="4"/>
      <c r="G147" s="4"/>
      <c r="H147" s="4"/>
      <c r="L147" s="4"/>
    </row>
    <row r="148" spans="1:12">
      <c r="A148" s="4"/>
      <c r="B148" s="4"/>
      <c r="C148" s="4"/>
      <c r="D148" s="4"/>
      <c r="E148" s="4"/>
      <c r="F148" s="4"/>
      <c r="G148" s="4"/>
      <c r="H148" s="4"/>
      <c r="L148" s="4"/>
    </row>
    <row r="149" spans="1:12">
      <c r="B149" s="228"/>
      <c r="C149" s="229"/>
      <c r="G149" s="230"/>
      <c r="H149" s="229"/>
      <c r="L149" s="4"/>
    </row>
    <row r="150" spans="1:12">
      <c r="G150" s="231"/>
      <c r="L150" s="4"/>
    </row>
    <row r="151" spans="1:12">
      <c r="G151" s="231"/>
      <c r="L151" s="4"/>
    </row>
    <row r="152" spans="1:12">
      <c r="B152" s="228"/>
      <c r="C152" s="229"/>
      <c r="G152" s="230"/>
      <c r="H152" s="229"/>
      <c r="L152" s="4"/>
    </row>
    <row r="153" spans="1:12">
      <c r="G153" s="20"/>
      <c r="L153" s="4"/>
    </row>
    <row r="154" spans="1:12">
      <c r="G154" s="20"/>
      <c r="L154" s="4"/>
    </row>
    <row r="155" spans="1:12">
      <c r="B155" s="3"/>
      <c r="C155" s="232"/>
      <c r="G155" s="230"/>
      <c r="H155" s="229"/>
      <c r="L155" s="4"/>
    </row>
    <row r="156" spans="1:12">
      <c r="G156" s="20"/>
      <c r="L156" s="4"/>
    </row>
    <row r="157" spans="1:12">
      <c r="G157" s="20"/>
      <c r="L157" s="4"/>
    </row>
    <row r="158" spans="1:12">
      <c r="B158" s="3"/>
      <c r="C158" s="233"/>
      <c r="G158" s="230"/>
      <c r="H158" s="234"/>
      <c r="L158" s="4"/>
    </row>
    <row r="159" spans="1:12">
      <c r="J159" s="4"/>
      <c r="K159" s="4"/>
      <c r="L159" s="4"/>
    </row>
    <row r="160" spans="1:12">
      <c r="A160" s="235"/>
      <c r="B160" s="235"/>
      <c r="C160" s="235"/>
      <c r="D160" s="235"/>
      <c r="E160" s="235"/>
      <c r="F160" s="235"/>
      <c r="G160" s="235"/>
      <c r="H160" s="235"/>
      <c r="I160" s="235"/>
      <c r="J160" s="7"/>
      <c r="K160" s="7"/>
      <c r="L160" s="4"/>
    </row>
    <row r="161" spans="1:12">
      <c r="J161" s="4"/>
      <c r="K161" s="4"/>
      <c r="L161" s="4"/>
    </row>
    <row r="162" spans="1:12">
      <c r="B162" s="228"/>
      <c r="D162" s="234"/>
      <c r="J162" s="4"/>
      <c r="K162" s="4"/>
      <c r="L162" s="4"/>
    </row>
    <row r="163" spans="1:12">
      <c r="J163" s="4"/>
      <c r="K163" s="4"/>
      <c r="L163" s="4"/>
    </row>
    <row r="164" spans="1:12">
      <c r="A164" s="235"/>
      <c r="B164" s="235"/>
      <c r="C164" s="235"/>
      <c r="D164" s="235"/>
      <c r="E164" s="235"/>
      <c r="F164" s="235"/>
      <c r="G164" s="235"/>
      <c r="H164" s="235"/>
      <c r="I164" s="235"/>
      <c r="J164" s="7"/>
      <c r="K164" s="7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</sheetData>
  <mergeCells count="6">
    <mergeCell ref="R36:S36"/>
    <mergeCell ref="F44:G44"/>
    <mergeCell ref="A1:K1"/>
    <mergeCell ref="M1:W1"/>
    <mergeCell ref="A5:J5"/>
    <mergeCell ref="R11:S11"/>
  </mergeCells>
  <phoneticPr fontId="35" type="noConversion"/>
  <printOptions horizontalCentered="1" verticalCentered="1"/>
  <pageMargins left="0" right="0" top="0.78740157480314965" bottom="0.19685039370078741" header="0.31496062992125984" footer="0.31496062992125984"/>
  <pageSetup paperSize="9" scale="50" orientation="landscape" r:id="rId1"/>
  <headerFooter alignWithMargins="0">
    <oddHeader>Página 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9"/>
  <sheetViews>
    <sheetView topLeftCell="A39" zoomScaleNormal="100" workbookViewId="0">
      <selection activeCell="B65" sqref="B65:E67"/>
    </sheetView>
  </sheetViews>
  <sheetFormatPr defaultColWidth="11" defaultRowHeight="12"/>
  <cols>
    <col min="1" max="1" width="9" style="1" customWidth="1"/>
    <col min="2" max="2" width="12" style="1" customWidth="1"/>
    <col min="3" max="3" width="10.875" style="1" customWidth="1"/>
    <col min="4" max="4" width="9.375" style="1" customWidth="1"/>
    <col min="5" max="5" width="8.625" style="1" customWidth="1"/>
    <col min="6" max="6" width="12.625" style="1" customWidth="1"/>
    <col min="7" max="7" width="35.125" style="1" customWidth="1"/>
    <col min="8" max="8" width="13.125" style="1" customWidth="1"/>
    <col min="9" max="9" width="13" style="1" customWidth="1"/>
    <col min="10" max="10" width="12.375" style="1" customWidth="1"/>
    <col min="11" max="11" width="7.25" style="1" customWidth="1"/>
    <col min="12" max="12" width="0.875" style="1" customWidth="1"/>
    <col min="13" max="16384" width="11" style="1"/>
  </cols>
  <sheetData>
    <row r="1" spans="1:11" ht="22.5" customHeight="1" thickBot="1">
      <c r="A1" s="668" t="s">
        <v>142</v>
      </c>
      <c r="B1" s="669"/>
      <c r="C1" s="669"/>
      <c r="D1" s="669"/>
      <c r="E1" s="669"/>
      <c r="F1" s="669"/>
      <c r="G1" s="669"/>
      <c r="H1" s="669"/>
      <c r="I1" s="669"/>
      <c r="J1" s="669"/>
      <c r="K1" s="670"/>
    </row>
    <row r="2" spans="1:11" ht="20.25">
      <c r="A2" s="39" t="s">
        <v>143</v>
      </c>
      <c r="B2" s="40"/>
      <c r="C2" s="41"/>
      <c r="D2" s="40"/>
      <c r="E2" s="40"/>
      <c r="F2" s="40"/>
      <c r="G2" s="42"/>
      <c r="H2" s="40"/>
      <c r="I2" s="40"/>
      <c r="J2" s="273"/>
      <c r="K2" s="43"/>
    </row>
    <row r="3" spans="1:11" ht="20.25">
      <c r="A3" s="48" t="s">
        <v>144</v>
      </c>
      <c r="B3" s="49"/>
      <c r="C3" s="49"/>
      <c r="D3" s="49"/>
      <c r="E3" s="50"/>
      <c r="F3" s="49"/>
      <c r="G3" s="49"/>
      <c r="H3" s="49"/>
      <c r="I3" s="49"/>
      <c r="J3" s="49"/>
      <c r="K3" s="51" t="s">
        <v>21</v>
      </c>
    </row>
    <row r="4" spans="1:11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20.25">
      <c r="A5" s="665" t="s">
        <v>23</v>
      </c>
      <c r="B5" s="666"/>
      <c r="C5" s="666"/>
      <c r="D5" s="666"/>
      <c r="E5" s="666"/>
      <c r="F5" s="666"/>
      <c r="G5" s="666"/>
      <c r="H5" s="666"/>
      <c r="I5" s="666"/>
      <c r="J5" s="667"/>
      <c r="K5" s="62"/>
    </row>
    <row r="6" spans="1:11" ht="12.75">
      <c r="A6" s="58" t="s">
        <v>145</v>
      </c>
      <c r="B6" s="59"/>
      <c r="C6" s="59"/>
      <c r="D6" s="59"/>
      <c r="E6" s="68"/>
      <c r="F6" s="59"/>
      <c r="G6" s="59"/>
      <c r="H6" s="59"/>
      <c r="I6" s="59"/>
      <c r="J6" s="59"/>
      <c r="K6" s="69"/>
    </row>
    <row r="7" spans="1:11" ht="12.75">
      <c r="A7" s="63"/>
      <c r="B7" s="64"/>
      <c r="C7" s="64"/>
      <c r="D7" s="64"/>
      <c r="E7" s="64"/>
      <c r="F7" s="64"/>
      <c r="G7" s="64"/>
      <c r="H7" s="64"/>
      <c r="I7" s="64"/>
      <c r="J7" s="64"/>
      <c r="K7" s="71"/>
    </row>
    <row r="8" spans="1:11" ht="12.75">
      <c r="A8" s="63"/>
      <c r="B8" s="64"/>
      <c r="C8" s="64"/>
      <c r="D8" s="64"/>
      <c r="E8" s="64"/>
      <c r="F8" s="64"/>
      <c r="G8" s="64"/>
      <c r="H8" s="64"/>
      <c r="I8" s="74"/>
      <c r="J8" s="64"/>
      <c r="K8" s="71"/>
    </row>
    <row r="9" spans="1:11" ht="15.75">
      <c r="A9" s="63" t="s">
        <v>29</v>
      </c>
      <c r="B9" s="65" t="s">
        <v>30</v>
      </c>
      <c r="C9" s="64"/>
      <c r="D9" s="64"/>
      <c r="E9" s="64"/>
      <c r="F9" s="64"/>
      <c r="G9" s="64"/>
      <c r="H9" s="64"/>
      <c r="I9" s="74"/>
      <c r="J9" s="64"/>
      <c r="K9" s="71"/>
    </row>
    <row r="10" spans="1:11" ht="12.75">
      <c r="A10" s="63"/>
      <c r="B10" s="64"/>
      <c r="C10" s="85"/>
      <c r="D10" s="64"/>
      <c r="E10" s="64"/>
      <c r="F10" s="64"/>
      <c r="G10" s="64"/>
      <c r="H10" s="64"/>
      <c r="I10" s="64"/>
      <c r="J10" s="64"/>
      <c r="K10" s="71"/>
    </row>
    <row r="11" spans="1:11" ht="12.75">
      <c r="A11" s="75" t="s">
        <v>34</v>
      </c>
      <c r="B11" s="91">
        <v>0.29166666666666702</v>
      </c>
      <c r="C11" s="77" t="s">
        <v>27</v>
      </c>
      <c r="D11" s="91">
        <v>0.70833333333333304</v>
      </c>
      <c r="E11" s="78" t="s">
        <v>28</v>
      </c>
      <c r="F11" s="79" t="s">
        <v>146</v>
      </c>
      <c r="G11" s="80"/>
      <c r="H11" s="80"/>
      <c r="I11" s="80"/>
      <c r="J11" s="80"/>
      <c r="K11" s="71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89" t="s">
        <v>33</v>
      </c>
      <c r="J12" s="93"/>
      <c r="K12" s="94"/>
    </row>
    <row r="13" spans="1:11" ht="12.75">
      <c r="A13" s="16" t="s">
        <v>44</v>
      </c>
      <c r="B13" s="12" t="s">
        <v>36</v>
      </c>
      <c r="C13" s="12" t="s">
        <v>45</v>
      </c>
      <c r="D13" s="12" t="s">
        <v>36</v>
      </c>
      <c r="E13" s="12" t="s">
        <v>35</v>
      </c>
      <c r="F13" s="12" t="s">
        <v>38</v>
      </c>
      <c r="G13" s="12" t="s">
        <v>39</v>
      </c>
      <c r="H13" s="12" t="s">
        <v>40</v>
      </c>
      <c r="I13" s="12" t="s">
        <v>41</v>
      </c>
      <c r="J13" s="92" t="s">
        <v>42</v>
      </c>
      <c r="K13" s="101"/>
    </row>
    <row r="14" spans="1:11" ht="12.75">
      <c r="A14" s="103"/>
      <c r="B14" s="104"/>
      <c r="C14" s="104"/>
      <c r="D14" s="104"/>
      <c r="E14" s="104"/>
      <c r="F14" s="104"/>
      <c r="G14" s="104"/>
      <c r="H14" s="104"/>
      <c r="I14" s="98" t="s">
        <v>43</v>
      </c>
      <c r="J14" s="105"/>
      <c r="K14" s="94"/>
    </row>
    <row r="15" spans="1:11" ht="12.75">
      <c r="A15" s="106"/>
      <c r="B15" s="102"/>
      <c r="C15" s="102"/>
      <c r="D15" s="102"/>
      <c r="E15" s="102"/>
      <c r="F15" s="102"/>
      <c r="G15" s="102"/>
      <c r="H15" s="102"/>
      <c r="I15" s="102"/>
      <c r="J15" s="110"/>
      <c r="K15" s="71"/>
    </row>
    <row r="16" spans="1:11" ht="12.75">
      <c r="A16" s="135"/>
      <c r="B16" s="102"/>
      <c r="C16" s="114"/>
      <c r="D16" s="102"/>
      <c r="E16" s="127">
        <v>4</v>
      </c>
      <c r="F16" s="122" t="s">
        <v>58</v>
      </c>
      <c r="G16" s="122" t="s">
        <v>147</v>
      </c>
      <c r="H16" s="145">
        <f>E16</f>
        <v>4</v>
      </c>
      <c r="I16" s="146">
        <v>893.4</v>
      </c>
      <c r="J16" s="124">
        <f>(H16*I16)</f>
        <v>3573.6</v>
      </c>
      <c r="K16" s="125">
        <f>J16/J55</f>
        <v>8.1600000000000006E-2</v>
      </c>
    </row>
    <row r="17" spans="1:11" ht="12.75">
      <c r="A17" s="135"/>
      <c r="B17" s="102"/>
      <c r="C17" s="114"/>
      <c r="D17" s="102"/>
      <c r="E17" s="127">
        <v>1</v>
      </c>
      <c r="F17" s="122" t="s">
        <v>69</v>
      </c>
      <c r="G17" s="122" t="s">
        <v>148</v>
      </c>
      <c r="H17" s="145">
        <f>E17</f>
        <v>1</v>
      </c>
      <c r="I17" s="146">
        <f>1346.55*1.11</f>
        <v>1494.67</v>
      </c>
      <c r="J17" s="124">
        <f>(H17*I17)</f>
        <v>1494.67</v>
      </c>
      <c r="K17" s="125">
        <f>J17/J55</f>
        <v>3.4099999999999998E-2</v>
      </c>
    </row>
    <row r="18" spans="1:11" ht="12.75">
      <c r="A18" s="135"/>
      <c r="B18" s="102"/>
      <c r="C18" s="114"/>
      <c r="D18" s="102"/>
      <c r="E18" s="127">
        <v>8</v>
      </c>
      <c r="F18" s="122" t="s">
        <v>78</v>
      </c>
      <c r="G18" s="122" t="s">
        <v>149</v>
      </c>
      <c r="H18" s="145">
        <f>E18</f>
        <v>8</v>
      </c>
      <c r="I18" s="146">
        <v>893.4</v>
      </c>
      <c r="J18" s="124">
        <f>(H18*I18)</f>
        <v>7147.2</v>
      </c>
      <c r="K18" s="125">
        <f>J18/J55</f>
        <v>0.1633</v>
      </c>
    </row>
    <row r="19" spans="1:11" ht="12.75">
      <c r="A19" s="128">
        <v>50</v>
      </c>
      <c r="B19" s="12" t="s">
        <v>150</v>
      </c>
      <c r="C19" s="112">
        <v>220</v>
      </c>
      <c r="D19" s="12" t="s">
        <v>151</v>
      </c>
      <c r="E19" s="127">
        <v>0</v>
      </c>
      <c r="F19" s="122" t="s">
        <v>82</v>
      </c>
      <c r="G19" s="122" t="s">
        <v>152</v>
      </c>
      <c r="H19" s="145">
        <f>(+A19/100)+1</f>
        <v>1.5</v>
      </c>
      <c r="I19" s="121">
        <f>I16/C19</f>
        <v>4.0599999999999996</v>
      </c>
      <c r="J19" s="124">
        <f>I19*H19*E19*E16*A26</f>
        <v>0</v>
      </c>
      <c r="K19" s="125">
        <f>J19/J55</f>
        <v>0</v>
      </c>
    </row>
    <row r="20" spans="1:11" ht="12.75">
      <c r="A20" s="128"/>
      <c r="B20" s="12"/>
      <c r="C20" s="112"/>
      <c r="D20" s="12"/>
      <c r="E20" s="127">
        <v>1</v>
      </c>
      <c r="F20" s="122" t="s">
        <v>85</v>
      </c>
      <c r="G20" s="122" t="s">
        <v>153</v>
      </c>
      <c r="H20" s="145">
        <f>E20</f>
        <v>1</v>
      </c>
      <c r="I20" s="274">
        <v>1800</v>
      </c>
      <c r="J20" s="124">
        <f>(H20*I20)</f>
        <v>1800</v>
      </c>
      <c r="K20" s="125">
        <f>J20/J55</f>
        <v>4.1099999999999998E-2</v>
      </c>
    </row>
    <row r="21" spans="1:11" ht="12.75">
      <c r="A21" s="128"/>
      <c r="B21" s="12"/>
      <c r="C21" s="112"/>
      <c r="D21" s="12"/>
      <c r="E21" s="127">
        <v>1</v>
      </c>
      <c r="F21" s="122" t="s">
        <v>88</v>
      </c>
      <c r="G21" s="122" t="s">
        <v>154</v>
      </c>
      <c r="H21" s="145">
        <f>E21</f>
        <v>1</v>
      </c>
      <c r="I21" s="274">
        <v>3000</v>
      </c>
      <c r="J21" s="124">
        <f>(H21*I21)</f>
        <v>3000</v>
      </c>
      <c r="K21" s="125">
        <f>J21/J55</f>
        <v>6.8500000000000005E-2</v>
      </c>
    </row>
    <row r="22" spans="1:11" ht="12.75">
      <c r="A22" s="353">
        <v>82.26</v>
      </c>
      <c r="B22" s="12" t="s">
        <v>155</v>
      </c>
      <c r="C22" s="112" t="s">
        <v>107</v>
      </c>
      <c r="D22" s="107" t="s">
        <v>53</v>
      </c>
      <c r="E22" s="12" t="s">
        <v>57</v>
      </c>
      <c r="F22" s="122" t="s">
        <v>93</v>
      </c>
      <c r="G22" s="107" t="s">
        <v>156</v>
      </c>
      <c r="H22" s="118">
        <f>A22/100</f>
        <v>0.8226</v>
      </c>
      <c r="I22" s="114">
        <f>SUM(J16:J21)</f>
        <v>17015.47</v>
      </c>
      <c r="J22" s="129">
        <f>(I22*H22)</f>
        <v>13996.93</v>
      </c>
      <c r="K22" s="125">
        <f>J22/J55</f>
        <v>0.31969999999999998</v>
      </c>
    </row>
    <row r="23" spans="1:11" ht="12.75">
      <c r="A23" s="128">
        <v>1</v>
      </c>
      <c r="B23" s="12" t="s">
        <v>157</v>
      </c>
      <c r="C23" s="112">
        <v>1</v>
      </c>
      <c r="D23" s="12" t="s">
        <v>56</v>
      </c>
      <c r="E23" s="112">
        <f>E16+E20+E18+E21</f>
        <v>14</v>
      </c>
      <c r="F23" s="122" t="s">
        <v>100</v>
      </c>
      <c r="G23" s="107" t="s">
        <v>158</v>
      </c>
      <c r="H23" s="142">
        <f t="shared" ref="H23:H29" si="0">E23</f>
        <v>14</v>
      </c>
      <c r="I23" s="121">
        <v>121.84</v>
      </c>
      <c r="J23" s="129">
        <f>(+I23*H23)*A23/C23</f>
        <v>1705.76</v>
      </c>
      <c r="K23" s="125">
        <f>J23/J55</f>
        <v>3.9E-2</v>
      </c>
    </row>
    <row r="24" spans="1:11" ht="12.75">
      <c r="A24" s="128">
        <v>1</v>
      </c>
      <c r="B24" s="12" t="s">
        <v>159</v>
      </c>
      <c r="C24" s="112">
        <v>6</v>
      </c>
      <c r="D24" s="12" t="s">
        <v>56</v>
      </c>
      <c r="E24" s="112">
        <f>E23</f>
        <v>14</v>
      </c>
      <c r="F24" s="122" t="s">
        <v>160</v>
      </c>
      <c r="G24" s="107" t="s">
        <v>161</v>
      </c>
      <c r="H24" s="142">
        <f t="shared" si="0"/>
        <v>14</v>
      </c>
      <c r="I24" s="197">
        <v>90</v>
      </c>
      <c r="J24" s="129">
        <f>(I24*H24*A24)/C24</f>
        <v>210</v>
      </c>
      <c r="K24" s="125">
        <f>J24/J55</f>
        <v>4.7999999999999996E-3</v>
      </c>
    </row>
    <row r="25" spans="1:11" ht="12.75">
      <c r="A25" s="128">
        <v>1</v>
      </c>
      <c r="B25" s="12" t="s">
        <v>162</v>
      </c>
      <c r="C25" s="112">
        <v>1</v>
      </c>
      <c r="D25" s="12" t="s">
        <v>56</v>
      </c>
      <c r="E25" s="112">
        <f>E23</f>
        <v>14</v>
      </c>
      <c r="F25" s="107" t="s">
        <v>163</v>
      </c>
      <c r="G25" s="107" t="s">
        <v>164</v>
      </c>
      <c r="H25" s="142">
        <f t="shared" si="0"/>
        <v>14</v>
      </c>
      <c r="I25" s="197">
        <v>28</v>
      </c>
      <c r="J25" s="129">
        <f>(+I25*H25)*A25*C25</f>
        <v>392</v>
      </c>
      <c r="K25" s="125">
        <f>J25/J55</f>
        <v>8.9999999999999993E-3</v>
      </c>
    </row>
    <row r="26" spans="1:11" ht="12.75">
      <c r="A26" s="128">
        <v>1</v>
      </c>
      <c r="B26" s="12" t="s">
        <v>159</v>
      </c>
      <c r="C26" s="112">
        <v>1</v>
      </c>
      <c r="D26" s="12" t="s">
        <v>56</v>
      </c>
      <c r="E26" s="112">
        <f>E25</f>
        <v>14</v>
      </c>
      <c r="F26" s="107" t="s">
        <v>165</v>
      </c>
      <c r="G26" s="107" t="s">
        <v>166</v>
      </c>
      <c r="H26" s="142">
        <f t="shared" si="0"/>
        <v>14</v>
      </c>
      <c r="I26" s="197">
        <v>16</v>
      </c>
      <c r="J26" s="129">
        <f>(I26*H26*A26)/C26</f>
        <v>224</v>
      </c>
      <c r="K26" s="125">
        <f>J26/J55</f>
        <v>5.1000000000000004E-3</v>
      </c>
    </row>
    <row r="27" spans="1:11" ht="12.75">
      <c r="A27" s="128">
        <v>1</v>
      </c>
      <c r="B27" s="12" t="s">
        <v>159</v>
      </c>
      <c r="C27" s="112">
        <v>6</v>
      </c>
      <c r="D27" s="12" t="s">
        <v>56</v>
      </c>
      <c r="E27" s="112">
        <f>E23-E20-E21</f>
        <v>12</v>
      </c>
      <c r="F27" s="107" t="s">
        <v>167</v>
      </c>
      <c r="G27" s="107" t="s">
        <v>168</v>
      </c>
      <c r="H27" s="142">
        <f t="shared" si="0"/>
        <v>12</v>
      </c>
      <c r="I27" s="197">
        <v>120</v>
      </c>
      <c r="J27" s="129">
        <f>(I27*H27*A27)/C27</f>
        <v>240</v>
      </c>
      <c r="K27" s="125">
        <f>J27/J55</f>
        <v>5.4999999999999997E-3</v>
      </c>
    </row>
    <row r="28" spans="1:11" ht="12.75">
      <c r="A28" s="128">
        <v>44</v>
      </c>
      <c r="B28" s="12" t="s">
        <v>159</v>
      </c>
      <c r="C28" s="112">
        <v>1</v>
      </c>
      <c r="D28" s="12" t="s">
        <v>56</v>
      </c>
      <c r="E28" s="112">
        <f>E24</f>
        <v>14</v>
      </c>
      <c r="F28" s="107" t="s">
        <v>169</v>
      </c>
      <c r="G28" s="107" t="s">
        <v>170</v>
      </c>
      <c r="H28" s="142">
        <f t="shared" si="0"/>
        <v>14</v>
      </c>
      <c r="I28" s="121">
        <v>2.4</v>
      </c>
      <c r="J28" s="129">
        <f>(I28*H28*A28)/C28</f>
        <v>1478.4</v>
      </c>
      <c r="K28" s="125">
        <f>J28/J55</f>
        <v>3.3799999999999997E-2</v>
      </c>
    </row>
    <row r="29" spans="1:11" ht="12.75">
      <c r="A29" s="128">
        <v>1</v>
      </c>
      <c r="B29" s="12" t="s">
        <v>159</v>
      </c>
      <c r="C29" s="112">
        <v>1</v>
      </c>
      <c r="D29" s="12" t="s">
        <v>56</v>
      </c>
      <c r="E29" s="112">
        <f>E25</f>
        <v>14</v>
      </c>
      <c r="F29" s="107" t="s">
        <v>171</v>
      </c>
      <c r="G29" s="107" t="s">
        <v>172</v>
      </c>
      <c r="H29" s="142">
        <f t="shared" si="0"/>
        <v>14</v>
      </c>
      <c r="I29" s="121">
        <f>I22</f>
        <v>17015.47</v>
      </c>
      <c r="J29" s="129">
        <f>(I29*0.06)*-1</f>
        <v>-1020.93</v>
      </c>
      <c r="K29" s="125">
        <f>J29/J55</f>
        <v>-2.3300000000000001E-2</v>
      </c>
    </row>
    <row r="30" spans="1:11" ht="12.75">
      <c r="A30" s="128"/>
      <c r="B30" s="12"/>
      <c r="C30" s="114"/>
      <c r="D30" s="12"/>
      <c r="E30" s="112"/>
      <c r="F30" s="107"/>
      <c r="G30" s="168"/>
      <c r="H30" s="284"/>
      <c r="I30" s="283"/>
      <c r="J30" s="285"/>
      <c r="K30" s="125"/>
    </row>
    <row r="31" spans="1:11" ht="12.75">
      <c r="A31" s="126"/>
      <c r="B31" s="102"/>
      <c r="C31" s="114"/>
      <c r="D31" s="102"/>
      <c r="E31" s="102"/>
      <c r="F31" s="122" t="s">
        <v>173</v>
      </c>
      <c r="G31" s="110" t="s">
        <v>299</v>
      </c>
      <c r="H31" s="348"/>
      <c r="I31" s="350"/>
      <c r="J31" s="285">
        <f>SUM(J16:J29)</f>
        <v>34241.629999999997</v>
      </c>
      <c r="K31" s="125"/>
    </row>
    <row r="32" spans="1:11" ht="12.75">
      <c r="A32" s="126"/>
      <c r="B32" s="102"/>
      <c r="C32" s="114"/>
      <c r="D32" s="102"/>
      <c r="E32" s="287"/>
      <c r="F32" s="122"/>
      <c r="G32" s="351"/>
      <c r="H32" s="352"/>
      <c r="I32" s="350"/>
      <c r="J32" s="349"/>
      <c r="K32" s="125"/>
    </row>
    <row r="33" spans="1:13" ht="12.75">
      <c r="A33" s="353">
        <v>2.5</v>
      </c>
      <c r="B33" s="120" t="s">
        <v>155</v>
      </c>
      <c r="C33" s="114"/>
      <c r="D33" s="12"/>
      <c r="E33" s="287"/>
      <c r="F33" s="122" t="s">
        <v>313</v>
      </c>
      <c r="G33" s="168" t="s">
        <v>302</v>
      </c>
      <c r="H33" s="136">
        <f>A33/100</f>
        <v>2.5000000000000001E-2</v>
      </c>
      <c r="I33" s="188">
        <f>J31</f>
        <v>34241.629999999997</v>
      </c>
      <c r="J33" s="124">
        <f>H33*I33</f>
        <v>856.04</v>
      </c>
      <c r="K33" s="125">
        <f>J33/J55</f>
        <v>1.9599999999999999E-2</v>
      </c>
    </row>
    <row r="34" spans="1:13" ht="12.75">
      <c r="A34" s="106"/>
      <c r="B34" s="102"/>
      <c r="C34" s="131"/>
      <c r="D34" s="102"/>
      <c r="E34" s="102"/>
      <c r="F34" s="102"/>
      <c r="G34" s="102"/>
      <c r="H34" s="102"/>
      <c r="I34" s="131"/>
      <c r="J34" s="137"/>
      <c r="K34" s="125"/>
    </row>
    <row r="35" spans="1:13" ht="12.75">
      <c r="A35" s="95"/>
      <c r="B35" s="96"/>
      <c r="C35" s="98"/>
      <c r="D35" s="96"/>
      <c r="E35" s="96"/>
      <c r="F35" s="165" t="s">
        <v>216</v>
      </c>
      <c r="G35" s="160" t="s">
        <v>314</v>
      </c>
      <c r="H35" s="166"/>
      <c r="I35" s="166"/>
      <c r="J35" s="167">
        <f>SUM(J31:J33)</f>
        <v>35097.67</v>
      </c>
      <c r="K35" s="143">
        <f>J35/J55</f>
        <v>0.80169999999999997</v>
      </c>
    </row>
    <row r="36" spans="1:13" ht="12.75">
      <c r="A36" s="144"/>
      <c r="B36" s="67"/>
      <c r="C36" s="67"/>
      <c r="D36" s="67"/>
      <c r="E36" s="67"/>
      <c r="F36" s="108"/>
      <c r="G36" s="108"/>
      <c r="H36" s="108"/>
      <c r="I36" s="108"/>
      <c r="J36" s="81"/>
      <c r="K36" s="170"/>
    </row>
    <row r="37" spans="1:13" ht="20.25">
      <c r="A37" s="171" t="s">
        <v>104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39"/>
    </row>
    <row r="38" spans="1:13" ht="20.25">
      <c r="A38" s="144"/>
      <c r="B38" s="67"/>
      <c r="C38" s="67"/>
      <c r="D38" s="67"/>
      <c r="E38" s="67"/>
      <c r="F38" s="67"/>
      <c r="G38" s="109"/>
      <c r="H38" s="67"/>
      <c r="I38" s="67"/>
      <c r="J38" s="67"/>
      <c r="K38" s="51"/>
    </row>
    <row r="39" spans="1:13" ht="12.75">
      <c r="A39" s="138"/>
      <c r="B39" s="88"/>
      <c r="C39" s="87"/>
      <c r="D39" s="87"/>
      <c r="E39" s="87"/>
      <c r="F39" s="173"/>
      <c r="G39" s="133"/>
      <c r="H39" s="15"/>
      <c r="I39" s="89" t="s">
        <v>33</v>
      </c>
      <c r="J39" s="90"/>
      <c r="K39" s="71"/>
    </row>
    <row r="40" spans="1:13" ht="12.75">
      <c r="A40" s="144"/>
      <c r="B40" s="175"/>
      <c r="C40" s="12" t="s">
        <v>44</v>
      </c>
      <c r="D40" s="12" t="s">
        <v>36</v>
      </c>
      <c r="E40" s="12" t="s">
        <v>38</v>
      </c>
      <c r="F40" s="657" t="s">
        <v>39</v>
      </c>
      <c r="G40" s="658"/>
      <c r="H40" s="12" t="s">
        <v>40</v>
      </c>
      <c r="I40" s="12" t="s">
        <v>41</v>
      </c>
      <c r="J40" s="92" t="s">
        <v>42</v>
      </c>
      <c r="K40" s="71"/>
    </row>
    <row r="41" spans="1:13" ht="12.75">
      <c r="A41" s="144"/>
      <c r="B41" s="175"/>
      <c r="C41" s="96"/>
      <c r="D41" s="96"/>
      <c r="E41" s="96"/>
      <c r="F41" s="99"/>
      <c r="G41" s="80"/>
      <c r="H41" s="104"/>
      <c r="I41" s="98" t="s">
        <v>43</v>
      </c>
      <c r="J41" s="99"/>
      <c r="K41" s="176"/>
    </row>
    <row r="42" spans="1:13" ht="12.75">
      <c r="A42" s="144"/>
      <c r="B42" s="175"/>
      <c r="C42" s="102"/>
      <c r="D42" s="102"/>
      <c r="E42" s="107" t="s">
        <v>114</v>
      </c>
      <c r="F42" s="132" t="s">
        <v>282</v>
      </c>
      <c r="G42" s="60"/>
      <c r="H42" s="177"/>
      <c r="I42" s="114">
        <f>J35</f>
        <v>35097.67</v>
      </c>
      <c r="J42" s="178">
        <f>J35</f>
        <v>35097.67</v>
      </c>
      <c r="K42" s="71"/>
    </row>
    <row r="43" spans="1:13" ht="12.75">
      <c r="A43" s="144"/>
      <c r="B43" s="175"/>
      <c r="C43" s="343"/>
      <c r="D43" s="12"/>
      <c r="E43" s="107"/>
      <c r="F43" s="168"/>
      <c r="G43" s="169"/>
      <c r="H43" s="113"/>
      <c r="I43" s="131"/>
      <c r="J43" s="129"/>
      <c r="K43" s="125"/>
    </row>
    <row r="44" spans="1:13" ht="12.75">
      <c r="A44" s="144"/>
      <c r="B44" s="175"/>
      <c r="C44" s="179">
        <v>5.5</v>
      </c>
      <c r="D44" s="12" t="s">
        <v>21</v>
      </c>
      <c r="E44" s="107" t="s">
        <v>117</v>
      </c>
      <c r="F44" s="168" t="s">
        <v>106</v>
      </c>
      <c r="G44" s="169"/>
      <c r="H44" s="113">
        <f>(C44/100)</f>
        <v>5.5E-2</v>
      </c>
      <c r="I44" s="131"/>
      <c r="J44" s="129">
        <f>(+J42*H44)</f>
        <v>1930.37</v>
      </c>
      <c r="K44" s="125">
        <f>J44/J55</f>
        <v>4.41E-2</v>
      </c>
    </row>
    <row r="45" spans="1:13" ht="12.75">
      <c r="A45" s="144"/>
      <c r="B45" s="175"/>
      <c r="C45" s="114" t="s">
        <v>107</v>
      </c>
      <c r="D45" s="102"/>
      <c r="E45" s="102"/>
      <c r="F45" s="110"/>
      <c r="G45" s="67"/>
      <c r="H45" s="113"/>
      <c r="I45" s="114"/>
      <c r="J45" s="129"/>
      <c r="K45" s="180"/>
      <c r="M45" s="130"/>
    </row>
    <row r="46" spans="1:13" ht="12.75">
      <c r="A46" s="144"/>
      <c r="B46" s="175"/>
      <c r="C46" s="187"/>
      <c r="D46" s="102"/>
      <c r="E46" s="107" t="s">
        <v>120</v>
      </c>
      <c r="F46" s="168" t="s">
        <v>289</v>
      </c>
      <c r="G46" s="67"/>
      <c r="H46" s="113"/>
      <c r="I46" s="131"/>
      <c r="J46" s="129">
        <f>SUM(J42:J44)</f>
        <v>37028.04</v>
      </c>
      <c r="K46" s="125"/>
    </row>
    <row r="47" spans="1:13" ht="12.75">
      <c r="A47" s="144"/>
      <c r="B47" s="175"/>
      <c r="C47" s="114">
        <v>0</v>
      </c>
      <c r="D47" s="12" t="s">
        <v>21</v>
      </c>
      <c r="E47" s="107" t="s">
        <v>121</v>
      </c>
      <c r="F47" s="168" t="s">
        <v>110</v>
      </c>
      <c r="G47" s="169"/>
      <c r="H47" s="113">
        <f>(C47/100)</f>
        <v>0</v>
      </c>
      <c r="I47" s="188">
        <f>J46</f>
        <v>37028.04</v>
      </c>
      <c r="J47" s="129">
        <f>(+J46*H47)</f>
        <v>0</v>
      </c>
      <c r="K47" s="125">
        <f>J47/J55</f>
        <v>0</v>
      </c>
    </row>
    <row r="48" spans="1:13" ht="12.75">
      <c r="A48" s="144"/>
      <c r="B48" s="175"/>
      <c r="C48" s="114" t="s">
        <v>107</v>
      </c>
      <c r="D48" s="102"/>
      <c r="E48" s="102"/>
      <c r="F48" s="110"/>
      <c r="G48" s="67"/>
      <c r="H48" s="113"/>
      <c r="I48" s="114"/>
      <c r="J48" s="129"/>
      <c r="K48" s="180"/>
    </row>
    <row r="49" spans="1:14" ht="12.75">
      <c r="A49" s="144"/>
      <c r="B49" s="175"/>
      <c r="C49" s="114" t="s">
        <v>107</v>
      </c>
      <c r="D49" s="102"/>
      <c r="E49" s="107" t="s">
        <v>122</v>
      </c>
      <c r="F49" s="168" t="s">
        <v>290</v>
      </c>
      <c r="G49" s="67"/>
      <c r="H49" s="113"/>
      <c r="I49" s="131"/>
      <c r="J49" s="129">
        <f>SUM(J46:J47)</f>
        <v>37028.04</v>
      </c>
      <c r="K49" s="180"/>
    </row>
    <row r="50" spans="1:14" ht="12.75">
      <c r="A50" s="144"/>
      <c r="B50" s="175"/>
      <c r="C50" s="179">
        <v>9</v>
      </c>
      <c r="D50" s="12" t="s">
        <v>21</v>
      </c>
      <c r="E50" s="107" t="s">
        <v>123</v>
      </c>
      <c r="F50" s="168" t="s">
        <v>292</v>
      </c>
      <c r="G50" s="169"/>
      <c r="H50" s="113">
        <f>(C50/100)</f>
        <v>0.09</v>
      </c>
      <c r="I50" s="188">
        <f>J49</f>
        <v>37028.04</v>
      </c>
      <c r="J50" s="129">
        <f>(+J49*H50)</f>
        <v>3332.52</v>
      </c>
      <c r="K50" s="125">
        <f>J50/J55</f>
        <v>7.6100000000000001E-2</v>
      </c>
    </row>
    <row r="51" spans="1:14" ht="12.75">
      <c r="A51" s="144"/>
      <c r="B51" s="175"/>
      <c r="C51" s="114" t="s">
        <v>107</v>
      </c>
      <c r="D51" s="102"/>
      <c r="E51" s="102"/>
      <c r="F51" s="110"/>
      <c r="G51" s="67"/>
      <c r="H51" s="113"/>
      <c r="I51" s="131"/>
      <c r="J51" s="129"/>
      <c r="K51" s="180"/>
    </row>
    <row r="52" spans="1:14" ht="12.75">
      <c r="A52" s="144"/>
      <c r="B52" s="175"/>
      <c r="C52" s="114" t="s">
        <v>107</v>
      </c>
      <c r="D52" s="102"/>
      <c r="E52" s="107" t="s">
        <v>125</v>
      </c>
      <c r="F52" s="168" t="s">
        <v>128</v>
      </c>
      <c r="G52" s="67"/>
      <c r="H52" s="113"/>
      <c r="I52" s="131"/>
      <c r="J52" s="129">
        <f>SUM(J49:J50)</f>
        <v>40360.559999999998</v>
      </c>
      <c r="K52" s="180"/>
    </row>
    <row r="53" spans="1:14" ht="12.75">
      <c r="A53" s="144"/>
      <c r="B53" s="175"/>
      <c r="C53" s="197">
        <f>(15%*C50)+(9%*C50)+3.65+2</f>
        <v>7.81</v>
      </c>
      <c r="D53" s="12" t="s">
        <v>21</v>
      </c>
      <c r="E53" s="107" t="s">
        <v>131</v>
      </c>
      <c r="F53" s="168" t="s">
        <v>119</v>
      </c>
      <c r="G53" s="169"/>
      <c r="H53" s="113">
        <f>(C53/100)</f>
        <v>7.8100000000000003E-2</v>
      </c>
      <c r="I53" s="131"/>
      <c r="J53" s="129">
        <f>(+J55*H53)</f>
        <v>3419.2</v>
      </c>
      <c r="K53" s="125">
        <f>J53/J55</f>
        <v>7.8100000000000003E-2</v>
      </c>
    </row>
    <row r="54" spans="1:14" ht="12.75">
      <c r="A54" s="144"/>
      <c r="B54" s="175"/>
      <c r="C54" s="114" t="s">
        <v>107</v>
      </c>
      <c r="D54" s="102"/>
      <c r="E54" s="102"/>
      <c r="F54" s="110"/>
      <c r="G54" s="67"/>
      <c r="H54" s="131"/>
      <c r="I54" s="131"/>
      <c r="J54" s="129"/>
      <c r="K54" s="180"/>
    </row>
    <row r="55" spans="1:14" ht="13.5" thickBot="1">
      <c r="A55" s="144"/>
      <c r="B55" s="175"/>
      <c r="C55" s="114" t="s">
        <v>107</v>
      </c>
      <c r="D55" s="102"/>
      <c r="E55" s="206" t="s">
        <v>127</v>
      </c>
      <c r="F55" s="207" t="s">
        <v>291</v>
      </c>
      <c r="G55" s="208"/>
      <c r="H55" s="208"/>
      <c r="I55" s="208"/>
      <c r="J55" s="209">
        <f>J52/(1-H53)</f>
        <v>43779.76</v>
      </c>
      <c r="K55" s="210">
        <f>J55/J55</f>
        <v>1</v>
      </c>
    </row>
    <row r="56" spans="1:14" ht="12.75">
      <c r="A56" s="259" t="s">
        <v>174</v>
      </c>
      <c r="B56" s="260"/>
      <c r="C56" s="260"/>
      <c r="D56" s="260"/>
      <c r="E56" s="261">
        <v>8000</v>
      </c>
      <c r="F56" s="262" t="s">
        <v>175</v>
      </c>
      <c r="G56" s="263"/>
      <c r="H56" s="263"/>
      <c r="I56" s="263"/>
      <c r="J56" s="263"/>
      <c r="K56" s="264"/>
    </row>
    <row r="57" spans="1:14" ht="12.75">
      <c r="A57" s="265" t="s">
        <v>141</v>
      </c>
      <c r="B57" s="64"/>
      <c r="C57" s="64"/>
      <c r="D57" s="64"/>
      <c r="E57" s="266">
        <v>24</v>
      </c>
      <c r="F57" s="267"/>
      <c r="G57" s="56"/>
      <c r="H57" s="56"/>
      <c r="I57" s="56"/>
      <c r="J57" s="56"/>
      <c r="K57" s="268"/>
    </row>
    <row r="58" spans="1:14" ht="13.5" thickBot="1">
      <c r="A58" s="265" t="s">
        <v>176</v>
      </c>
      <c r="B58" s="64"/>
      <c r="C58" s="64"/>
      <c r="D58" s="64"/>
      <c r="E58" s="266">
        <f>E56*E57</f>
        <v>192000</v>
      </c>
      <c r="F58" s="269" t="s">
        <v>175</v>
      </c>
      <c r="G58" s="56"/>
      <c r="H58" s="56"/>
      <c r="I58" s="56"/>
      <c r="J58" s="56"/>
      <c r="K58" s="268"/>
    </row>
    <row r="59" spans="1:14" ht="20.25" thickBot="1">
      <c r="A59" s="275" t="s">
        <v>177</v>
      </c>
      <c r="B59" s="253"/>
      <c r="C59" s="253"/>
      <c r="D59" s="253"/>
      <c r="E59" s="270"/>
      <c r="F59" s="271">
        <f>J55</f>
        <v>43779.76</v>
      </c>
      <c r="G59" s="258" t="s">
        <v>298</v>
      </c>
      <c r="H59" s="270"/>
      <c r="I59" s="270"/>
      <c r="J59" s="362">
        <f>F59/E58</f>
        <v>0.22800000000000001</v>
      </c>
      <c r="K59" s="282"/>
      <c r="N59" s="130"/>
    </row>
    <row r="61" spans="1:14" ht="15.75">
      <c r="A61" s="30" t="s">
        <v>135</v>
      </c>
    </row>
    <row r="62" spans="1:14" ht="15">
      <c r="H62" s="11"/>
      <c r="I62" s="11"/>
    </row>
    <row r="63" spans="1:14" ht="15.75">
      <c r="A63" s="30" t="str">
        <f>'Caminhão Basculante Varrição'!A63</f>
        <v>Patos de Minas-MG, 01 de novembro de 2016</v>
      </c>
      <c r="G63" s="13"/>
      <c r="H63" s="11"/>
      <c r="I63" s="11"/>
    </row>
    <row r="65" spans="1:10" ht="12.75" thickBot="1">
      <c r="B65" s="694"/>
      <c r="C65" s="694"/>
      <c r="D65" s="694"/>
      <c r="E65" s="694"/>
    </row>
    <row r="66" spans="1:10" ht="12.75" thickTop="1">
      <c r="A66" s="13"/>
      <c r="B66" s="1" t="s">
        <v>346</v>
      </c>
      <c r="F66" s="272"/>
    </row>
    <row r="67" spans="1:10">
      <c r="B67" s="1" t="s">
        <v>347</v>
      </c>
    </row>
    <row r="70" spans="1:10">
      <c r="A70" s="217"/>
      <c r="B70" s="217"/>
      <c r="C70" s="217"/>
      <c r="D70" s="217"/>
      <c r="E70" s="217"/>
      <c r="F70" s="217"/>
      <c r="G70" s="217"/>
      <c r="H70" s="217"/>
      <c r="I70" s="217"/>
      <c r="J70" s="217"/>
    </row>
    <row r="94" ht="2.25" customHeight="1"/>
    <row r="95" ht="12.75" customHeight="1"/>
    <row r="96" ht="0.75" customHeight="1"/>
    <row r="121" spans="1:12" ht="12.75">
      <c r="L121" s="218"/>
    </row>
    <row r="122" spans="1:12" ht="12.75">
      <c r="L122" s="218"/>
    </row>
    <row r="123" spans="1:12" ht="12.75">
      <c r="L123" s="218"/>
    </row>
    <row r="124" spans="1:12" ht="12.75">
      <c r="L124" s="218"/>
    </row>
    <row r="125" spans="1:12" ht="12.75">
      <c r="L125" s="2"/>
    </row>
    <row r="126" spans="1:12" ht="12.75">
      <c r="A126" s="218"/>
      <c r="B126" s="218"/>
      <c r="C126" s="218"/>
      <c r="D126" s="218"/>
      <c r="E126" s="222"/>
      <c r="F126" s="222"/>
      <c r="G126" s="222"/>
      <c r="H126" s="222"/>
      <c r="I126" s="222"/>
      <c r="J126" s="222"/>
      <c r="K126" s="222"/>
    </row>
    <row r="127" spans="1:12" ht="12.75">
      <c r="A127" s="218"/>
      <c r="B127" s="218"/>
      <c r="C127" s="218"/>
      <c r="D127" s="218"/>
      <c r="E127" s="218"/>
      <c r="F127" s="218"/>
      <c r="G127" s="218"/>
      <c r="H127" s="218"/>
      <c r="I127" s="218"/>
      <c r="J127" s="223"/>
      <c r="K127" s="223"/>
      <c r="L127" s="130"/>
    </row>
    <row r="128" spans="1:12" ht="12.75">
      <c r="A128" s="218"/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</row>
    <row r="129" spans="1:12" ht="12.75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</row>
    <row r="130" spans="1:12" ht="12.75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</row>
    <row r="131" spans="1:12" ht="12.75">
      <c r="A131" s="218"/>
      <c r="B131" s="218"/>
      <c r="C131" s="218"/>
      <c r="D131" s="218"/>
      <c r="E131" s="218"/>
      <c r="F131" s="218"/>
      <c r="G131" s="218"/>
      <c r="H131" s="218"/>
      <c r="I131" s="218"/>
      <c r="J131" s="218"/>
      <c r="K131" s="218"/>
    </row>
    <row r="132" spans="1:12" ht="12.75">
      <c r="A132" s="2"/>
      <c r="B132" s="2"/>
      <c r="C132" s="2"/>
      <c r="D132" s="2"/>
      <c r="E132" s="224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25"/>
      <c r="F133" s="225"/>
      <c r="G133" s="225"/>
      <c r="H133" s="225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25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21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21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6"/>
      <c r="C144" s="4"/>
      <c r="D144" s="226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4"/>
    </row>
    <row r="148" spans="1:12">
      <c r="A148" s="4"/>
      <c r="B148" s="4"/>
      <c r="C148" s="6"/>
      <c r="D148" s="4"/>
      <c r="E148" s="4"/>
      <c r="F148" s="4"/>
      <c r="G148" s="227"/>
      <c r="H148" s="227"/>
      <c r="L148" s="4"/>
    </row>
    <row r="149" spans="1:12">
      <c r="A149" s="7"/>
      <c r="B149" s="7"/>
      <c r="C149" s="7"/>
      <c r="D149" s="7"/>
      <c r="E149" s="7"/>
      <c r="F149" s="7"/>
      <c r="G149" s="7"/>
      <c r="H149" s="7"/>
      <c r="L149" s="4"/>
    </row>
    <row r="150" spans="1:12">
      <c r="A150" s="4"/>
      <c r="B150" s="4"/>
      <c r="C150" s="4"/>
      <c r="D150" s="4"/>
      <c r="E150" s="4"/>
      <c r="F150" s="4"/>
      <c r="G150" s="4"/>
      <c r="H150" s="4"/>
      <c r="L150" s="4"/>
    </row>
    <row r="151" spans="1:12">
      <c r="A151" s="4"/>
      <c r="B151" s="4"/>
      <c r="C151" s="4"/>
      <c r="D151" s="4"/>
      <c r="E151" s="4"/>
      <c r="F151" s="4"/>
      <c r="G151" s="4"/>
      <c r="H151" s="4"/>
      <c r="L151" s="4"/>
    </row>
    <row r="152" spans="1:12">
      <c r="B152" s="228"/>
      <c r="C152" s="229"/>
      <c r="G152" s="230"/>
      <c r="H152" s="229"/>
      <c r="L152" s="4"/>
    </row>
    <row r="153" spans="1:12">
      <c r="G153" s="231"/>
      <c r="L153" s="4"/>
    </row>
    <row r="154" spans="1:12">
      <c r="G154" s="231"/>
      <c r="L154" s="4"/>
    </row>
    <row r="155" spans="1:12">
      <c r="B155" s="228"/>
      <c r="C155" s="229"/>
      <c r="G155" s="230"/>
      <c r="H155" s="229"/>
      <c r="L155" s="4"/>
    </row>
    <row r="156" spans="1:12">
      <c r="G156" s="20"/>
      <c r="L156" s="4"/>
    </row>
    <row r="157" spans="1:12">
      <c r="G157" s="20"/>
      <c r="L157" s="4"/>
    </row>
    <row r="158" spans="1:12">
      <c r="B158" s="3"/>
      <c r="C158" s="232"/>
      <c r="G158" s="230"/>
      <c r="H158" s="229"/>
      <c r="L158" s="4"/>
    </row>
    <row r="159" spans="1:12">
      <c r="G159" s="20"/>
      <c r="L159" s="4"/>
    </row>
    <row r="160" spans="1:12">
      <c r="G160" s="20"/>
      <c r="L160" s="4"/>
    </row>
    <row r="161" spans="1:12">
      <c r="B161" s="3"/>
      <c r="C161" s="233"/>
      <c r="G161" s="230"/>
      <c r="H161" s="234"/>
      <c r="L161" s="4"/>
    </row>
    <row r="162" spans="1:12">
      <c r="J162" s="4"/>
      <c r="K162" s="4"/>
      <c r="L162" s="4"/>
    </row>
    <row r="163" spans="1:12">
      <c r="A163" s="235"/>
      <c r="B163" s="235"/>
      <c r="C163" s="235"/>
      <c r="D163" s="235"/>
      <c r="E163" s="235"/>
      <c r="F163" s="235"/>
      <c r="G163" s="235"/>
      <c r="H163" s="235"/>
      <c r="I163" s="235"/>
      <c r="J163" s="7"/>
      <c r="K163" s="7"/>
      <c r="L163" s="4"/>
    </row>
    <row r="164" spans="1:12">
      <c r="J164" s="4"/>
      <c r="K164" s="4"/>
      <c r="L164" s="4"/>
    </row>
    <row r="165" spans="1:12">
      <c r="B165" s="228"/>
      <c r="D165" s="234"/>
      <c r="J165" s="4"/>
      <c r="K165" s="4"/>
      <c r="L165" s="4"/>
    </row>
    <row r="166" spans="1:12">
      <c r="J166" s="4"/>
      <c r="K166" s="4"/>
      <c r="L166" s="4"/>
    </row>
    <row r="167" spans="1:12">
      <c r="A167" s="235"/>
      <c r="B167" s="235"/>
      <c r="C167" s="235"/>
      <c r="D167" s="235"/>
      <c r="E167" s="235"/>
      <c r="F167" s="235"/>
      <c r="G167" s="235"/>
      <c r="H167" s="235"/>
      <c r="I167" s="235"/>
      <c r="J167" s="7"/>
      <c r="K167" s="7"/>
      <c r="L167" s="4"/>
    </row>
    <row r="168" spans="1: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</sheetData>
  <mergeCells count="3">
    <mergeCell ref="A1:K1"/>
    <mergeCell ref="A5:J5"/>
    <mergeCell ref="F40:G40"/>
  </mergeCells>
  <phoneticPr fontId="35" type="noConversion"/>
  <printOptions horizontalCentered="1"/>
  <pageMargins left="0.59055118110236227" right="0" top="1.1811023622047245" bottom="0.19685039370078741" header="0.31496062992125984" footer="0.31496062992125984"/>
  <pageSetup paperSize="9" scale="65" orientation="portrait" r:id="rId1"/>
  <headerFooter alignWithMargins="0">
    <oddHeader>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Ônibus Equipe Capina</vt:lpstr>
      <vt:lpstr>Insumos Varrição</vt:lpstr>
      <vt:lpstr>Insumos - Equipe Capina</vt:lpstr>
      <vt:lpstr>Insumos - Equipe Multi Uso</vt:lpstr>
      <vt:lpstr>Equipe Multi Uso</vt:lpstr>
      <vt:lpstr>Equipe Varrição</vt:lpstr>
      <vt:lpstr>Caminhão Equipe Multi-Uso</vt:lpstr>
      <vt:lpstr>Caminhão Basculante Varrição</vt:lpstr>
      <vt:lpstr>Equipe Capina</vt:lpstr>
      <vt:lpstr>Encargos Sociais</vt:lpstr>
      <vt:lpstr>Quadro Resumo</vt:lpstr>
      <vt:lpstr>'Caminhão Basculante Varrição'!Area_de_impressao</vt:lpstr>
      <vt:lpstr>'Caminhão Equipe Multi-Uso'!Area_de_impressao</vt:lpstr>
      <vt:lpstr>'Equipe Capina'!Area_de_impressao</vt:lpstr>
      <vt:lpstr>'Equipe Multi Uso'!Area_de_impressao</vt:lpstr>
      <vt:lpstr>'Equipe Varrição'!Area_de_impressao</vt:lpstr>
      <vt:lpstr>'Insumos - Equipe Capina'!Area_de_impressao</vt:lpstr>
      <vt:lpstr>'Insumos - Equipe Multi Uso'!Area_de_impressao</vt:lpstr>
      <vt:lpstr>'Insumos Varrição'!Area_de_impressao</vt:lpstr>
      <vt:lpstr>'Ônibus Equipe Capina'!Area_de_impressao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INFRA507</cp:lastModifiedBy>
  <cp:lastPrinted>2016-04-11T12:47:49Z</cp:lastPrinted>
  <dcterms:created xsi:type="dcterms:W3CDTF">1998-06-22T18:58:18Z</dcterms:created>
  <dcterms:modified xsi:type="dcterms:W3CDTF">2016-11-01T17:37:22Z</dcterms:modified>
</cp:coreProperties>
</file>